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59" activeTab="1"/>
  </bookViews>
  <sheets>
    <sheet name="INFO" sheetId="1" r:id="rId1"/>
    <sheet name="saisie" sheetId="2" r:id="rId2"/>
    <sheet name="M Q" sheetId="3" r:id="rId3"/>
    <sheet name="Clb Q (2)" sheetId="4" state="hidden" r:id="rId4"/>
    <sheet name="Clb Q" sheetId="5" r:id="rId5"/>
    <sheet name="P.F." sheetId="6" r:id="rId6"/>
    <sheet name="PALMARES" sheetId="7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'INFO'!$A$1:$C$19</definedName>
    <definedName name="_xlnm.Print_Area" localSheetId="2">'M Q'!$A$1:$AI$8</definedName>
    <definedName name="_xlnm.Print_Area" localSheetId="5">'P.F.'!$B$1:$U$78</definedName>
    <definedName name="_xlnm.Print_Area" localSheetId="6">'PALMARES'!$A$1:$H$27</definedName>
    <definedName name="_xlnm.Print_Area" localSheetId="1">'saisie'!$A$3:$AJ$9</definedName>
    <definedName name="_xlnm.Print_Area" localSheetId="0">'INFO'!$A$1:$C$19</definedName>
    <definedName name="_xlnm.Print_Area" localSheetId="1">'saisie'!$A$3:$AJ$9</definedName>
    <definedName name="_xlnm.Print_Area" localSheetId="2">'M Q'!$A$1:$AI$8</definedName>
    <definedName name="_xlnm.Print_Area" localSheetId="3">'Clb Q (2)'!$B$1:$N$31</definedName>
    <definedName name="_xlnm.Print_Area" localSheetId="4">'Clb Q'!$B$1:$L$32</definedName>
    <definedName name="_xlnm.Print_Area" localSheetId="5">'P.F.'!$B$1:$U$78</definedName>
    <definedName name="_xlnm.Print_Area" localSheetId="6">'PALMARES'!$A$1:$H$27</definedName>
  </definedNames>
  <calcPr fullCalcOnLoad="1"/>
</workbook>
</file>

<file path=xl/sharedStrings.xml><?xml version="1.0" encoding="utf-8"?>
<sst xmlns="http://schemas.openxmlformats.org/spreadsheetml/2006/main" count="197" uniqueCount="67">
  <si>
    <t>PROGRAMME DE GESTION 
CHAMPIONNAT DE FRANCE DES CLUBS
10 METRES</t>
  </si>
  <si>
    <t>COMPETITION</t>
  </si>
  <si>
    <t>date :</t>
  </si>
  <si>
    <t>lieu :</t>
  </si>
  <si>
    <t>Villers-Semeuse</t>
  </si>
  <si>
    <t>saison :</t>
  </si>
  <si>
    <t>17-18</t>
  </si>
  <si>
    <t>Discipline :</t>
  </si>
  <si>
    <t>Pistolet</t>
  </si>
  <si>
    <t>(CARABINE ou PISTOLET)</t>
  </si>
  <si>
    <t>Nombre d'équipe :</t>
  </si>
  <si>
    <t>LIGUE :</t>
  </si>
  <si>
    <t>CHAMPAGNE (Ardennes)</t>
  </si>
  <si>
    <t>(EN MAJUSCULE)</t>
  </si>
  <si>
    <t>RESPONSABLE DE LA SAISIE</t>
  </si>
  <si>
    <t>NOM Prénom :</t>
  </si>
  <si>
    <t>KIEFER Françoise</t>
  </si>
  <si>
    <t>téléphone :</t>
  </si>
  <si>
    <t>adresse électronique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</si>
  <si>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</si>
  <si>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Monsieur Philippe QUENTEL</t>
  </si>
  <si>
    <t>pquentel@fftir.org</t>
  </si>
  <si>
    <t>01 58 05 45 32</t>
  </si>
  <si>
    <t>POSTE</t>
  </si>
  <si>
    <t>Cl.</t>
  </si>
  <si>
    <t>CLUB</t>
  </si>
  <si>
    <t>N° club</t>
  </si>
  <si>
    <t>Nom</t>
  </si>
  <si>
    <t>Séries</t>
  </si>
  <si>
    <t>Total</t>
  </si>
  <si>
    <t>M*</t>
  </si>
  <si>
    <t>TT</t>
  </si>
  <si>
    <t>Bar.</t>
  </si>
  <si>
    <t>TOTAL</t>
  </si>
  <si>
    <t>1er Tireur</t>
  </si>
  <si>
    <t>2ème Tireur</t>
  </si>
  <si>
    <t>3ème Tireur</t>
  </si>
  <si>
    <t>4ème Tireur</t>
  </si>
  <si>
    <t>5ème Tireur</t>
  </si>
  <si>
    <t>USST CHARLEVILLE</t>
  </si>
  <si>
    <t>PROFICET Fabrice</t>
  </si>
  <si>
    <t>PROFICET Hervé</t>
  </si>
  <si>
    <t>CLAISSE Didier</t>
  </si>
  <si>
    <t>FRERE Fabien</t>
  </si>
  <si>
    <t>PROFICET Pauline</t>
  </si>
  <si>
    <t>séries</t>
  </si>
  <si>
    <t>M* TT</t>
  </si>
  <si>
    <t>CLUB N°1</t>
  </si>
  <si>
    <t>NOMS</t>
  </si>
  <si>
    <t>série 1</t>
  </si>
  <si>
    <t>série 2</t>
  </si>
  <si>
    <t>série 3</t>
  </si>
  <si>
    <t>POINTS</t>
  </si>
  <si>
    <t>CLUB N°2</t>
  </si>
  <si>
    <t>CLUBS QUALIFIES EN PHASE FINALE</t>
  </si>
  <si>
    <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</si>
  <si>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DEMI-FINALES</t>
  </si>
  <si>
    <t>PETITE FINALE</t>
  </si>
  <si>
    <t>FINALE</t>
  </si>
  <si>
    <t>PLACE</t>
  </si>
  <si>
    <t>CLUBS</t>
  </si>
  <si>
    <t>LIGUE</t>
  </si>
  <si>
    <t>n° CLUB</t>
  </si>
  <si>
    <t>M Q</t>
  </si>
  <si>
    <t>PETITE
FINALEPETITE
FINALE</t>
  </si>
  <si>
    <t>1/4 finalistes sortants</t>
  </si>
  <si>
    <t>1 / 4   FINALES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</si>
</sst>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\ MMMM\ YYYY;@"/>
    <numFmt numFmtId="166" formatCode="0"/>
    <numFmt numFmtId="167" formatCode="#\.##\.###"/>
    <numFmt numFmtId="168" formatCode="0.0000000000000000"/>
    <numFmt numFmtId="169" formatCode="#,##0"/>
    <numFmt numFmtId="170" formatCode="0.0000000000"/>
    <numFmt numFmtId="171" formatCode="0.000000000"/>
    <numFmt numFmtId="172" formatCode="DD\-MMM"/>
    <numFmt numFmtId="173" formatCode="0.0000000000000000000"/>
  </numFmts>
  <fonts count="82">
    <font>
      <sz val="10"/>
      <name val="Arial"/>
      <family val="2"/>
    </font>
    <font>
      <sz val="10"/>
      <name val="Verdana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36"/>
      <name val="Helvetica Neue"/>
      <family val="0"/>
    </font>
    <font>
      <b/>
      <sz val="28"/>
      <color indexed="31"/>
      <name val="Helvetica Neue"/>
      <family val="0"/>
    </font>
    <font>
      <b/>
      <sz val="30"/>
      <name val="Helvetica Neue"/>
      <family val="0"/>
    </font>
    <font>
      <b/>
      <sz val="32"/>
      <name val="Helvetica Neue"/>
      <family val="0"/>
    </font>
    <font>
      <sz val="30"/>
      <name val="Helvetica Neue"/>
      <family val="0"/>
    </font>
    <font>
      <b/>
      <sz val="28"/>
      <name val="Helvetica Neue"/>
      <family val="0"/>
    </font>
    <font>
      <b/>
      <sz val="48"/>
      <name val="Helvetica Neue"/>
      <family val="0"/>
    </font>
    <font>
      <b/>
      <sz val="28"/>
      <color indexed="9"/>
      <name val="Helvetica Neue"/>
      <family val="0"/>
    </font>
    <font>
      <b/>
      <sz val="32"/>
      <color indexed="9"/>
      <name val="Helvetica Neue"/>
      <family val="0"/>
    </font>
    <font>
      <b/>
      <sz val="40"/>
      <color indexed="9"/>
      <name val="Helvetica Neue"/>
      <family val="0"/>
    </font>
    <font>
      <b/>
      <sz val="36"/>
      <color indexed="9"/>
      <name val="Helvetica Neue"/>
      <family val="0"/>
    </font>
    <font>
      <sz val="50"/>
      <color indexed="9"/>
      <name val="Helvetica Neue"/>
      <family val="0"/>
    </font>
    <font>
      <sz val="50"/>
      <name val="Helvetica Neue"/>
      <family val="0"/>
    </font>
    <font>
      <b/>
      <sz val="50"/>
      <color indexed="23"/>
      <name val="Helvetica Neue"/>
      <family val="0"/>
    </font>
    <font>
      <b/>
      <sz val="50"/>
      <name val="Helvetica Neue"/>
      <family val="0"/>
    </font>
    <font>
      <b/>
      <sz val="34"/>
      <color indexed="10"/>
      <name val="Helvetica Neue"/>
      <family val="0"/>
    </font>
    <font>
      <b/>
      <sz val="28"/>
      <name val="Verdana"/>
      <family val="2"/>
    </font>
    <font>
      <b/>
      <sz val="26"/>
      <name val="Verdana"/>
      <family val="2"/>
    </font>
    <font>
      <b/>
      <sz val="28"/>
      <color indexed="9"/>
      <name val="Verdana"/>
      <family val="2"/>
    </font>
    <font>
      <sz val="40"/>
      <color indexed="9"/>
      <name val="Helvetica Neue"/>
      <family val="0"/>
    </font>
    <font>
      <b/>
      <sz val="32"/>
      <color indexed="23"/>
      <name val="Helvetica Neue"/>
      <family val="0"/>
    </font>
    <font>
      <b/>
      <sz val="30"/>
      <color indexed="24"/>
      <name val="Helvetica Neue"/>
      <family val="0"/>
    </font>
    <font>
      <b/>
      <sz val="54"/>
      <name val="Helvetica Neue"/>
      <family val="0"/>
    </font>
    <font>
      <b/>
      <sz val="40"/>
      <color indexed="31"/>
      <name val="Helvetica Neue"/>
      <family val="0"/>
    </font>
    <font>
      <sz val="24"/>
      <name val="Helvetica Neue"/>
      <family val="0"/>
    </font>
    <font>
      <b/>
      <sz val="34"/>
      <color indexed="31"/>
      <name val="Helvetica Neue"/>
      <family val="0"/>
    </font>
    <font>
      <sz val="12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25"/>
      <name val="Arial Black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sz val="36"/>
      <name val="Arial"/>
      <family val="2"/>
    </font>
    <font>
      <b/>
      <sz val="50"/>
      <color indexed="55"/>
      <name val="Arial"/>
      <family val="2"/>
    </font>
    <font>
      <b/>
      <sz val="30"/>
      <name val="Arial"/>
      <family val="2"/>
    </font>
    <font>
      <b/>
      <sz val="40"/>
      <name val="Arial"/>
      <family val="2"/>
    </font>
    <font>
      <b/>
      <sz val="16"/>
      <color indexed="9"/>
      <name val="Arial Narrow"/>
      <family val="2"/>
    </font>
    <font>
      <sz val="10"/>
      <color indexed="55"/>
      <name val="Arial Narrow"/>
      <family val="2"/>
    </font>
    <font>
      <b/>
      <sz val="14"/>
      <color indexed="9"/>
      <name val="Arial Narrow"/>
      <family val="2"/>
    </font>
    <font>
      <b/>
      <sz val="15"/>
      <color indexed="9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50"/>
      <name val="Arial"/>
      <family val="2"/>
    </font>
    <font>
      <b/>
      <sz val="60"/>
      <name val="Arial Narrow"/>
      <family val="2"/>
    </font>
    <font>
      <b/>
      <sz val="15"/>
      <name val="Arial Narrow"/>
      <family val="2"/>
    </font>
    <font>
      <sz val="12"/>
      <name val="Arial Narrow"/>
      <family val="2"/>
    </font>
    <font>
      <sz val="48"/>
      <color indexed="18"/>
      <name val="Arial Black"/>
      <family val="0"/>
    </font>
    <font>
      <sz val="48"/>
      <name val="Arial Black"/>
      <family val="0"/>
    </font>
    <font>
      <b/>
      <sz val="12"/>
      <name val="Arial Narrow"/>
      <family val="2"/>
    </font>
    <font>
      <sz val="36"/>
      <color indexed="55"/>
      <name val="Arial Black"/>
      <family val="0"/>
    </font>
    <font>
      <sz val="45"/>
      <color indexed="18"/>
      <name val="Arial Black"/>
      <family val="0"/>
    </font>
    <font>
      <sz val="18"/>
      <name val="Arial Narrow"/>
      <family val="2"/>
    </font>
    <font>
      <sz val="30"/>
      <name val="Arial Black"/>
      <family val="0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color indexed="18"/>
      <name val="Arial Black"/>
      <family val="0"/>
    </font>
    <font>
      <b/>
      <sz val="18"/>
      <color indexed="23"/>
      <name val="Arial Narrow"/>
      <family val="2"/>
    </font>
    <font>
      <sz val="15"/>
      <color indexed="55"/>
      <name val="Arial Narrow"/>
      <family val="2"/>
    </font>
    <font>
      <b/>
      <sz val="18"/>
      <color indexed="9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sz val="18"/>
      <color indexed="55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b/>
      <sz val="22"/>
      <name val="Arial Narrow"/>
      <family val="2"/>
    </font>
    <font>
      <sz val="20"/>
      <color indexed="3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2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23"/>
      </bottom>
    </border>
    <border>
      <left style="thick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3"/>
      </left>
      <right style="thick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ck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 style="medium">
        <color indexed="8"/>
      </top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 vertical="center"/>
      <protection/>
    </xf>
    <xf numFmtId="164" fontId="1" fillId="0" borderId="0">
      <alignment/>
      <protection/>
    </xf>
  </cellStyleXfs>
  <cellXfs count="346">
    <xf numFmtId="164" fontId="0" fillId="0" borderId="0" xfId="0" applyAlignment="1">
      <alignment/>
    </xf>
    <xf numFmtId="164" fontId="0" fillId="0" borderId="0" xfId="22" applyFont="1" applyProtection="1">
      <alignment/>
      <protection/>
    </xf>
    <xf numFmtId="164" fontId="2" fillId="2" borderId="0" xfId="22" applyFont="1" applyFill="1" applyBorder="1" applyAlignment="1" applyProtection="1">
      <alignment horizontal="center" vertical="center" wrapText="1"/>
      <protection/>
    </xf>
    <xf numFmtId="164" fontId="3" fillId="0" borderId="0" xfId="22" applyFont="1" applyFill="1" applyBorder="1" applyAlignment="1" applyProtection="1">
      <alignment horizontal="center" vertical="center"/>
      <protection/>
    </xf>
    <xf numFmtId="164" fontId="4" fillId="2" borderId="0" xfId="22" applyFont="1" applyFill="1" applyBorder="1" applyAlignment="1" applyProtection="1">
      <alignment horizontal="center" vertical="center"/>
      <protection/>
    </xf>
    <xf numFmtId="164" fontId="5" fillId="0" borderId="0" xfId="22" applyFont="1" applyFill="1" applyBorder="1" applyAlignment="1" applyProtection="1">
      <alignment horizontal="right" vertical="center"/>
      <protection/>
    </xf>
    <xf numFmtId="165" fontId="5" fillId="0" borderId="1" xfId="22" applyNumberFormat="1" applyFont="1" applyFill="1" applyBorder="1" applyAlignment="1" applyProtection="1">
      <alignment horizontal="left" vertical="center"/>
      <protection locked="0"/>
    </xf>
    <xf numFmtId="164" fontId="5" fillId="0" borderId="0" xfId="22" applyFont="1" applyFill="1" applyBorder="1" applyAlignment="1" applyProtection="1">
      <alignment horizontal="left" vertical="center" indent="1"/>
      <protection/>
    </xf>
    <xf numFmtId="165" fontId="5" fillId="0" borderId="2" xfId="22" applyNumberFormat="1" applyFont="1" applyFill="1" applyBorder="1" applyAlignment="1" applyProtection="1">
      <alignment horizontal="left" vertical="center"/>
      <protection locked="0"/>
    </xf>
    <xf numFmtId="164" fontId="5" fillId="0" borderId="2" xfId="22" applyNumberFormat="1" applyFont="1" applyFill="1" applyBorder="1" applyAlignment="1" applyProtection="1">
      <alignment horizontal="left" vertical="center"/>
      <protection locked="0"/>
    </xf>
    <xf numFmtId="166" fontId="5" fillId="0" borderId="2" xfId="22" applyNumberFormat="1" applyFont="1" applyFill="1" applyBorder="1" applyAlignment="1" applyProtection="1">
      <alignment horizontal="left" vertical="center"/>
      <protection locked="0"/>
    </xf>
    <xf numFmtId="164" fontId="5" fillId="0" borderId="0" xfId="21" applyFont="1" applyFill="1" applyBorder="1" applyAlignment="1" applyProtection="1">
      <alignment horizontal="right" vertical="center" wrapText="1"/>
      <protection/>
    </xf>
    <xf numFmtId="164" fontId="5" fillId="0" borderId="1" xfId="22" applyFont="1" applyFill="1" applyBorder="1" applyAlignment="1" applyProtection="1">
      <alignment horizontal="left" vertical="center"/>
      <protection locked="0"/>
    </xf>
    <xf numFmtId="164" fontId="5" fillId="0" borderId="0" xfId="22" applyFont="1" applyAlignment="1" applyProtection="1">
      <alignment vertical="center"/>
      <protection/>
    </xf>
    <xf numFmtId="164" fontId="5" fillId="0" borderId="0" xfId="22" applyFont="1" applyAlignment="1" applyProtection="1">
      <alignment horizontal="left" vertical="center"/>
      <protection/>
    </xf>
    <xf numFmtId="165" fontId="5" fillId="0" borderId="1" xfId="22" applyNumberFormat="1" applyFont="1" applyFill="1" applyBorder="1" applyAlignment="1" applyProtection="1">
      <alignment horizontal="left" vertical="center" indent="2"/>
      <protection locked="0"/>
    </xf>
    <xf numFmtId="165" fontId="5" fillId="0" borderId="0" xfId="22" applyNumberFormat="1" applyFont="1" applyFill="1" applyBorder="1" applyAlignment="1" applyProtection="1">
      <alignment horizontal="left" vertical="center" indent="2"/>
      <protection/>
    </xf>
    <xf numFmtId="164" fontId="5" fillId="0" borderId="2" xfId="22" applyFont="1" applyFill="1" applyBorder="1" applyAlignment="1" applyProtection="1">
      <alignment horizontal="left" vertical="center" indent="1"/>
      <protection locked="0"/>
    </xf>
    <xf numFmtId="164" fontId="6" fillId="0" borderId="2" xfId="20" applyNumberFormat="1" applyFill="1" applyBorder="1" applyAlignment="1" applyProtection="1">
      <alignment horizontal="left" vertical="center" indent="1"/>
      <protection locked="0"/>
    </xf>
    <xf numFmtId="164" fontId="7" fillId="0" borderId="0" xfId="20" applyNumberFormat="1" applyFont="1" applyFill="1" applyBorder="1" applyAlignment="1" applyProtection="1">
      <alignment horizontal="left" vertical="center" indent="1"/>
      <protection/>
    </xf>
    <xf numFmtId="164" fontId="5" fillId="0" borderId="0" xfId="22" applyFont="1" applyFill="1" applyBorder="1" applyAlignment="1" applyProtection="1">
      <alignment horizontal="justify" vertical="center" wrapText="1"/>
      <protection/>
    </xf>
    <xf numFmtId="164" fontId="8" fillId="0" borderId="0" xfId="22" applyFont="1" applyFill="1" applyBorder="1" applyAlignment="1" applyProtection="1">
      <alignment horizontal="left" vertical="center" indent="5"/>
      <protection/>
    </xf>
    <xf numFmtId="164" fontId="5" fillId="0" borderId="0" xfId="22" applyFon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horizontal="left" vertical="center" indent="5"/>
      <protection/>
    </xf>
    <xf numFmtId="164" fontId="9" fillId="0" borderId="0" xfId="20" applyNumberFormat="1" applyFont="1" applyFill="1" applyBorder="1" applyAlignment="1" applyProtection="1">
      <alignment horizontal="left" vertical="top"/>
      <protection/>
    </xf>
    <xf numFmtId="164" fontId="8" fillId="0" borderId="0" xfId="22" applyFont="1" applyFill="1" applyBorder="1" applyAlignment="1" applyProtection="1">
      <alignment horizontal="left" vertical="top" indent="5"/>
      <protection/>
    </xf>
    <xf numFmtId="164" fontId="0" fillId="0" borderId="0" xfId="20" applyNumberFormat="1" applyFont="1" applyFill="1" applyBorder="1" applyAlignment="1" applyProtection="1">
      <alignment horizontal="left" vertical="top"/>
      <protection/>
    </xf>
    <xf numFmtId="164" fontId="10" fillId="0" borderId="0" xfId="22" applyFont="1" applyFill="1" applyAlignment="1">
      <alignment horizontal="center" vertical="center"/>
      <protection/>
    </xf>
    <xf numFmtId="164" fontId="11" fillId="0" borderId="0" xfId="22" applyFont="1" applyFill="1" applyAlignment="1">
      <alignment horizontal="center" vertical="center"/>
      <protection/>
    </xf>
    <xf numFmtId="164" fontId="12" fillId="0" borderId="0" xfId="22" applyFont="1" applyFill="1" applyAlignment="1">
      <alignment horizontal="center" vertical="center"/>
      <protection/>
    </xf>
    <xf numFmtId="164" fontId="13" fillId="0" borderId="0" xfId="22" applyFont="1" applyFill="1" applyAlignment="1">
      <alignment horizontal="center" vertical="center"/>
      <protection/>
    </xf>
    <xf numFmtId="164" fontId="13" fillId="0" borderId="0" xfId="22" applyFont="1" applyFill="1" applyBorder="1" applyAlignment="1">
      <alignment horizontal="center" vertical="center"/>
      <protection/>
    </xf>
    <xf numFmtId="164" fontId="12" fillId="0" borderId="0" xfId="22" applyFont="1" applyFill="1" applyBorder="1" applyAlignment="1">
      <alignment horizontal="center" vertical="center"/>
      <protection/>
    </xf>
    <xf numFmtId="164" fontId="14" fillId="0" borderId="0" xfId="22" applyFont="1" applyFill="1" applyBorder="1" applyAlignment="1">
      <alignment horizontal="center" vertical="center"/>
      <protection/>
    </xf>
    <xf numFmtId="164" fontId="15" fillId="0" borderId="0" xfId="22" applyFont="1" applyFill="1" applyAlignment="1">
      <alignment horizontal="center" vertical="center"/>
      <protection/>
    </xf>
    <xf numFmtId="164" fontId="10" fillId="0" borderId="0" xfId="22" applyFont="1" applyFill="1" applyBorder="1" applyAlignment="1">
      <alignment horizontal="center" vertical="center"/>
      <protection/>
    </xf>
    <xf numFmtId="164" fontId="16" fillId="0" borderId="3" xfId="22" applyFont="1" applyFill="1" applyBorder="1" applyAlignment="1">
      <alignment horizontal="center" vertical="center"/>
      <protection/>
    </xf>
    <xf numFmtId="164" fontId="17" fillId="3" borderId="4" xfId="22" applyFont="1" applyFill="1" applyBorder="1" applyAlignment="1">
      <alignment horizontal="center" vertical="center" wrapText="1"/>
      <protection/>
    </xf>
    <xf numFmtId="164" fontId="18" fillId="3" borderId="5" xfId="22" applyFont="1" applyFill="1" applyBorder="1" applyAlignment="1">
      <alignment horizontal="center" vertical="center" wrapText="1"/>
      <protection/>
    </xf>
    <xf numFmtId="164" fontId="19" fillId="3" borderId="5" xfId="22" applyFont="1" applyFill="1" applyBorder="1" applyAlignment="1">
      <alignment horizontal="center" vertical="center"/>
      <protection/>
    </xf>
    <xf numFmtId="164" fontId="19" fillId="3" borderId="6" xfId="22" applyFont="1" applyFill="1" applyBorder="1" applyAlignment="1">
      <alignment horizontal="center" vertical="center"/>
      <protection/>
    </xf>
    <xf numFmtId="164" fontId="20" fillId="3" borderId="7" xfId="22" applyFont="1" applyFill="1" applyBorder="1" applyAlignment="1">
      <alignment horizontal="center" vertical="center"/>
      <protection/>
    </xf>
    <xf numFmtId="164" fontId="20" fillId="3" borderId="8" xfId="22" applyFont="1" applyFill="1" applyBorder="1" applyAlignment="1">
      <alignment horizontal="center" vertical="center"/>
      <protection/>
    </xf>
    <xf numFmtId="164" fontId="20" fillId="3" borderId="9" xfId="22" applyFont="1" applyFill="1" applyBorder="1" applyAlignment="1">
      <alignment horizontal="center" vertical="center"/>
      <protection/>
    </xf>
    <xf numFmtId="164" fontId="20" fillId="3" borderId="10" xfId="22" applyFont="1" applyFill="1" applyBorder="1" applyAlignment="1">
      <alignment horizontal="center" vertical="center"/>
      <protection/>
    </xf>
    <xf numFmtId="164" fontId="20" fillId="3" borderId="11" xfId="22" applyFont="1" applyFill="1" applyBorder="1" applyAlignment="1">
      <alignment horizontal="center" vertical="center"/>
      <protection/>
    </xf>
    <xf numFmtId="164" fontId="20" fillId="3" borderId="12" xfId="22" applyFont="1" applyFill="1" applyBorder="1" applyAlignment="1">
      <alignment horizontal="center" vertical="center"/>
      <protection/>
    </xf>
    <xf numFmtId="164" fontId="20" fillId="3" borderId="5" xfId="22" applyFont="1" applyFill="1" applyBorder="1" applyAlignment="1">
      <alignment horizontal="center" vertical="center"/>
      <protection/>
    </xf>
    <xf numFmtId="164" fontId="20" fillId="3" borderId="6" xfId="22" applyFont="1" applyFill="1" applyBorder="1" applyAlignment="1">
      <alignment horizontal="center" vertical="center" wrapText="1"/>
      <protection/>
    </xf>
    <xf numFmtId="164" fontId="20" fillId="3" borderId="6" xfId="22" applyFont="1" applyFill="1" applyBorder="1" applyAlignment="1">
      <alignment horizontal="center" vertical="center"/>
      <protection/>
    </xf>
    <xf numFmtId="164" fontId="20" fillId="3" borderId="4" xfId="22" applyFont="1" applyFill="1" applyBorder="1" applyAlignment="1">
      <alignment horizontal="center" vertical="center"/>
      <protection/>
    </xf>
    <xf numFmtId="164" fontId="21" fillId="3" borderId="6" xfId="22" applyFont="1" applyFill="1" applyBorder="1" applyAlignment="1">
      <alignment horizontal="center" vertical="center"/>
      <protection/>
    </xf>
    <xf numFmtId="164" fontId="22" fillId="0" borderId="0" xfId="22" applyFont="1" applyFill="1" applyAlignment="1">
      <alignment horizontal="center" vertical="center"/>
      <protection/>
    </xf>
    <xf numFmtId="164" fontId="23" fillId="0" borderId="13" xfId="22" applyFont="1" applyFill="1" applyBorder="1" applyAlignment="1">
      <alignment horizontal="center" vertical="center" wrapText="1"/>
      <protection/>
    </xf>
    <xf numFmtId="164" fontId="24" fillId="0" borderId="0" xfId="22" applyFont="1" applyFill="1" applyAlignment="1">
      <alignment horizontal="center" vertical="center"/>
      <protection/>
    </xf>
    <xf numFmtId="164" fontId="20" fillId="3" borderId="14" xfId="22" applyFont="1" applyFill="1" applyBorder="1" applyAlignment="1">
      <alignment horizontal="center" vertical="center"/>
      <protection/>
    </xf>
    <xf numFmtId="164" fontId="20" fillId="3" borderId="15" xfId="22" applyFont="1" applyFill="1" applyBorder="1" applyAlignment="1">
      <alignment horizontal="center" vertical="center"/>
      <protection/>
    </xf>
    <xf numFmtId="164" fontId="20" fillId="3" borderId="16" xfId="22" applyFont="1" applyFill="1" applyBorder="1" applyAlignment="1">
      <alignment horizontal="center" vertical="center"/>
      <protection/>
    </xf>
    <xf numFmtId="164" fontId="20" fillId="3" borderId="17" xfId="22" applyFont="1" applyFill="1" applyBorder="1" applyAlignment="1">
      <alignment horizontal="center" vertical="center"/>
      <protection/>
    </xf>
    <xf numFmtId="164" fontId="17" fillId="3" borderId="18" xfId="22" applyFont="1" applyFill="1" applyBorder="1" applyAlignment="1">
      <alignment horizontal="center" vertical="center"/>
      <protection/>
    </xf>
    <xf numFmtId="164" fontId="25" fillId="0" borderId="19" xfId="22" applyFont="1" applyFill="1" applyBorder="1" applyAlignment="1">
      <alignment horizontal="center" vertical="center"/>
      <protection/>
    </xf>
    <xf numFmtId="164" fontId="26" fillId="4" borderId="20" xfId="0" applyFont="1" applyFill="1" applyBorder="1" applyAlignment="1" applyProtection="1">
      <alignment horizontal="center" vertical="center"/>
      <protection locked="0"/>
    </xf>
    <xf numFmtId="167" fontId="27" fillId="4" borderId="20" xfId="0" applyNumberFormat="1" applyFont="1" applyFill="1" applyBorder="1" applyAlignment="1" applyProtection="1">
      <alignment horizontal="center" vertical="center"/>
      <protection locked="0"/>
    </xf>
    <xf numFmtId="164" fontId="26" fillId="0" borderId="21" xfId="0" applyFont="1" applyBorder="1" applyAlignment="1" applyProtection="1">
      <alignment horizontal="center" vertical="center"/>
      <protection locked="0"/>
    </xf>
    <xf numFmtId="166" fontId="26" fillId="0" borderId="21" xfId="0" applyNumberFormat="1" applyFont="1" applyBorder="1" applyAlignment="1" applyProtection="1">
      <alignment horizontal="center" vertical="center"/>
      <protection locked="0"/>
    </xf>
    <xf numFmtId="164" fontId="28" fillId="3" borderId="22" xfId="22" applyNumberFormat="1" applyFont="1" applyFill="1" applyBorder="1" applyAlignment="1">
      <alignment horizontal="center" vertical="center"/>
      <protection/>
    </xf>
    <xf numFmtId="166" fontId="26" fillId="0" borderId="23" xfId="22" applyNumberFormat="1" applyFont="1" applyFill="1" applyBorder="1" applyAlignment="1" applyProtection="1">
      <alignment horizontal="center" vertical="center"/>
      <protection locked="0"/>
    </xf>
    <xf numFmtId="164" fontId="26" fillId="0" borderId="24" xfId="0" applyFont="1" applyBorder="1" applyAlignment="1" applyProtection="1">
      <alignment horizontal="center" vertical="center"/>
      <protection locked="0"/>
    </xf>
    <xf numFmtId="164" fontId="28" fillId="3" borderId="19" xfId="22" applyNumberFormat="1" applyFont="1" applyFill="1" applyBorder="1" applyAlignment="1">
      <alignment horizontal="center" vertical="center"/>
      <protection/>
    </xf>
    <xf numFmtId="166" fontId="26" fillId="0" borderId="25" xfId="22" applyNumberFormat="1" applyFont="1" applyFill="1" applyBorder="1" applyAlignment="1" applyProtection="1">
      <alignment horizontal="center" vertical="center"/>
      <protection locked="0"/>
    </xf>
    <xf numFmtId="164" fontId="28" fillId="3" borderId="18" xfId="22" applyNumberFormat="1" applyFont="1" applyFill="1" applyBorder="1" applyAlignment="1">
      <alignment horizontal="center" vertical="center"/>
      <protection/>
    </xf>
    <xf numFmtId="166" fontId="29" fillId="3" borderId="25" xfId="22" applyNumberFormat="1" applyFont="1" applyFill="1" applyBorder="1" applyAlignment="1" applyProtection="1">
      <alignment horizontal="center" vertical="center"/>
      <protection locked="0"/>
    </xf>
    <xf numFmtId="164" fontId="15" fillId="0" borderId="0" xfId="22" applyFont="1" applyFill="1" applyBorder="1" applyAlignment="1">
      <alignment horizontal="center" vertical="center"/>
      <protection/>
    </xf>
    <xf numFmtId="168" fontId="30" fillId="0" borderId="13" xfId="22" applyNumberFormat="1" applyFont="1" applyFill="1" applyBorder="1" applyAlignment="1">
      <alignment horizontal="center" vertical="center"/>
      <protection/>
    </xf>
    <xf numFmtId="164" fontId="17" fillId="3" borderId="26" xfId="22" applyFont="1" applyFill="1" applyBorder="1" applyAlignment="1">
      <alignment horizontal="center" vertical="center"/>
      <protection/>
    </xf>
    <xf numFmtId="164" fontId="25" fillId="0" borderId="27" xfId="22" applyFont="1" applyFill="1" applyBorder="1" applyAlignment="1">
      <alignment horizontal="center" vertical="center"/>
      <protection/>
    </xf>
    <xf numFmtId="169" fontId="26" fillId="4" borderId="28" xfId="0" applyNumberFormat="1" applyFont="1" applyFill="1" applyBorder="1" applyAlignment="1" applyProtection="1">
      <alignment horizontal="center" vertical="center"/>
      <protection locked="0"/>
    </xf>
    <xf numFmtId="167" fontId="27" fillId="4" borderId="28" xfId="0" applyNumberFormat="1" applyFont="1" applyFill="1" applyBorder="1" applyAlignment="1" applyProtection="1">
      <alignment horizontal="center" vertical="center"/>
      <protection locked="0"/>
    </xf>
    <xf numFmtId="164" fontId="26" fillId="0" borderId="29" xfId="0" applyFont="1" applyBorder="1" applyAlignment="1" applyProtection="1">
      <alignment horizontal="center" vertical="center"/>
      <protection locked="0"/>
    </xf>
    <xf numFmtId="166" fontId="26" fillId="0" borderId="30" xfId="0" applyNumberFormat="1" applyFont="1" applyBorder="1" applyAlignment="1" applyProtection="1">
      <alignment horizontal="center" vertical="center"/>
      <protection locked="0"/>
    </xf>
    <xf numFmtId="164" fontId="28" fillId="3" borderId="13" xfId="22" applyNumberFormat="1" applyFont="1" applyFill="1" applyBorder="1" applyAlignment="1">
      <alignment horizontal="center" vertical="center"/>
      <protection/>
    </xf>
    <xf numFmtId="166" fontId="26" fillId="0" borderId="31" xfId="22" applyNumberFormat="1" applyFont="1" applyFill="1" applyBorder="1" applyAlignment="1" applyProtection="1">
      <alignment horizontal="center" vertical="center"/>
      <protection locked="0"/>
    </xf>
    <xf numFmtId="164" fontId="26" fillId="0" borderId="30" xfId="0" applyFont="1" applyBorder="1" applyAlignment="1" applyProtection="1">
      <alignment horizontal="center" vertical="center"/>
      <protection locked="0"/>
    </xf>
    <xf numFmtId="164" fontId="28" fillId="3" borderId="27" xfId="22" applyNumberFormat="1" applyFont="1" applyFill="1" applyBorder="1" applyAlignment="1">
      <alignment horizontal="center" vertical="center"/>
      <protection/>
    </xf>
    <xf numFmtId="166" fontId="26" fillId="0" borderId="32" xfId="22" applyNumberFormat="1" applyFont="1" applyFill="1" applyBorder="1" applyAlignment="1" applyProtection="1">
      <alignment horizontal="center" vertical="center"/>
      <protection locked="0"/>
    </xf>
    <xf numFmtId="164" fontId="28" fillId="3" borderId="26" xfId="22" applyNumberFormat="1" applyFont="1" applyFill="1" applyBorder="1" applyAlignment="1">
      <alignment horizontal="center" vertical="center"/>
      <protection/>
    </xf>
    <xf numFmtId="166" fontId="29" fillId="3" borderId="32" xfId="22" applyNumberFormat="1" applyFont="1" applyFill="1" applyBorder="1" applyAlignment="1" applyProtection="1">
      <alignment horizontal="center" vertical="center"/>
      <protection locked="0"/>
    </xf>
    <xf numFmtId="164" fontId="10" fillId="0" borderId="0" xfId="22" applyNumberFormat="1" applyFont="1" applyAlignment="1" applyProtection="1">
      <alignment horizontal="center" vertical="center"/>
      <protection/>
    </xf>
    <xf numFmtId="164" fontId="12" fillId="0" borderId="0" xfId="22" applyNumberFormat="1" applyFont="1" applyAlignment="1" applyProtection="1">
      <alignment horizontal="center" vertical="center"/>
      <protection/>
    </xf>
    <xf numFmtId="164" fontId="13" fillId="0" borderId="0" xfId="22" applyNumberFormat="1" applyFont="1" applyAlignment="1" applyProtection="1">
      <alignment horizontal="center" vertical="center"/>
      <protection/>
    </xf>
    <xf numFmtId="164" fontId="13" fillId="0" borderId="0" xfId="22" applyNumberFormat="1" applyFont="1" applyFill="1" applyAlignment="1" applyProtection="1">
      <alignment horizontal="center" vertical="center"/>
      <protection/>
    </xf>
    <xf numFmtId="164" fontId="12" fillId="0" borderId="0" xfId="22" applyNumberFormat="1" applyFont="1" applyFill="1" applyBorder="1" applyAlignment="1" applyProtection="1">
      <alignment horizontal="center" vertical="center"/>
      <protection/>
    </xf>
    <xf numFmtId="164" fontId="31" fillId="0" borderId="0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/>
      <protection/>
    </xf>
    <xf numFmtId="164" fontId="15" fillId="0" borderId="0" xfId="22" applyNumberFormat="1" applyFont="1" applyAlignment="1" applyProtection="1">
      <alignment horizontal="center" vertical="center"/>
      <protection/>
    </xf>
    <xf numFmtId="164" fontId="15" fillId="0" borderId="0" xfId="22" applyNumberFormat="1" applyFont="1" applyFill="1" applyBorder="1" applyAlignment="1" applyProtection="1">
      <alignment horizontal="center" vertical="center"/>
      <protection/>
    </xf>
    <xf numFmtId="164" fontId="10" fillId="0" borderId="0" xfId="22" applyNumberFormat="1" applyFont="1" applyAlignment="1" applyProtection="1">
      <alignment horizontal="center" vertical="center"/>
      <protection locked="0"/>
    </xf>
    <xf numFmtId="164" fontId="12" fillId="0" borderId="0" xfId="22" applyNumberFormat="1" applyFont="1" applyAlignment="1" applyProtection="1">
      <alignment horizontal="center" vertical="center"/>
      <protection locked="0"/>
    </xf>
    <xf numFmtId="164" fontId="13" fillId="0" borderId="0" xfId="22" applyNumberFormat="1" applyFont="1" applyAlignment="1" applyProtection="1">
      <alignment horizontal="center" vertical="center"/>
      <protection locked="0"/>
    </xf>
    <xf numFmtId="164" fontId="13" fillId="0" borderId="0" xfId="22" applyNumberFormat="1" applyFont="1" applyFill="1" applyAlignment="1" applyProtection="1">
      <alignment horizontal="center" vertical="center"/>
      <protection locked="0"/>
    </xf>
    <xf numFmtId="164" fontId="12" fillId="0" borderId="0" xfId="22" applyNumberFormat="1" applyFont="1" applyFill="1" applyBorder="1" applyAlignment="1" applyProtection="1">
      <alignment horizontal="center" vertical="center"/>
      <protection locked="0"/>
    </xf>
    <xf numFmtId="164" fontId="31" fillId="0" borderId="0" xfId="22" applyNumberFormat="1" applyFont="1" applyFill="1" applyBorder="1" applyAlignment="1" applyProtection="1">
      <alignment horizontal="center" vertical="center"/>
      <protection locked="0"/>
    </xf>
    <xf numFmtId="164" fontId="32" fillId="0" borderId="33" xfId="22" applyNumberFormat="1" applyFont="1" applyBorder="1" applyAlignment="1" applyProtection="1">
      <alignment horizontal="center" vertical="center"/>
      <protection/>
    </xf>
    <xf numFmtId="164" fontId="33" fillId="0" borderId="0" xfId="22" applyNumberFormat="1" applyFont="1" applyFill="1" applyBorder="1" applyAlignment="1" applyProtection="1">
      <alignment vertical="center"/>
      <protection/>
    </xf>
    <xf numFmtId="164" fontId="19" fillId="3" borderId="34" xfId="22" applyNumberFormat="1" applyFont="1" applyFill="1" applyBorder="1" applyAlignment="1" applyProtection="1">
      <alignment horizontal="center" vertical="center" wrapText="1"/>
      <protection/>
    </xf>
    <xf numFmtId="164" fontId="12" fillId="5" borderId="35" xfId="22" applyNumberFormat="1" applyFont="1" applyFill="1" applyBorder="1" applyAlignment="1" applyProtection="1">
      <alignment horizontal="center" vertical="center"/>
      <protection/>
    </xf>
    <xf numFmtId="164" fontId="10" fillId="5" borderId="36" xfId="22" applyNumberFormat="1" applyFont="1" applyFill="1" applyBorder="1" applyAlignment="1" applyProtection="1">
      <alignment horizontal="center" vertical="center"/>
      <protection/>
    </xf>
    <xf numFmtId="164" fontId="10" fillId="0" borderId="34" xfId="22" applyNumberFormat="1" applyFont="1" applyBorder="1" applyAlignment="1" applyProtection="1">
      <alignment horizontal="center" vertical="center"/>
      <protection/>
    </xf>
    <xf numFmtId="164" fontId="10" fillId="0" borderId="35" xfId="22" applyNumberFormat="1" applyFont="1" applyBorder="1" applyAlignment="1" applyProtection="1">
      <alignment horizontal="center" vertical="center"/>
      <protection/>
    </xf>
    <xf numFmtId="164" fontId="10" fillId="5" borderId="35" xfId="22" applyNumberFormat="1" applyFont="1" applyFill="1" applyBorder="1" applyAlignment="1" applyProtection="1">
      <alignment horizontal="center" vertical="center"/>
      <protection/>
    </xf>
    <xf numFmtId="164" fontId="10" fillId="0" borderId="36" xfId="22" applyNumberFormat="1" applyFont="1" applyFill="1" applyBorder="1" applyAlignment="1" applyProtection="1">
      <alignment horizontal="center" vertical="center"/>
      <protection/>
    </xf>
    <xf numFmtId="164" fontId="10" fillId="0" borderId="36" xfId="22" applyNumberFormat="1" applyFont="1" applyBorder="1" applyAlignment="1" applyProtection="1">
      <alignment horizontal="center" vertical="center"/>
      <protection/>
    </xf>
    <xf numFmtId="164" fontId="20" fillId="3" borderId="34" xfId="22" applyNumberFormat="1" applyFont="1" applyFill="1" applyBorder="1" applyAlignment="1" applyProtection="1">
      <alignment horizontal="center" vertical="center" wrapText="1"/>
      <protection/>
    </xf>
    <xf numFmtId="164" fontId="31" fillId="0" borderId="36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 wrapText="1"/>
      <protection/>
    </xf>
    <xf numFmtId="164" fontId="34" fillId="0" borderId="0" xfId="22" applyNumberFormat="1" applyFont="1" applyAlignment="1" applyProtection="1">
      <alignment horizontal="center" vertical="center"/>
      <protection/>
    </xf>
    <xf numFmtId="164" fontId="19" fillId="3" borderId="37" xfId="22" applyNumberFormat="1" applyFont="1" applyFill="1" applyBorder="1" applyAlignment="1" applyProtection="1">
      <alignment horizontal="center" vertical="center"/>
      <protection/>
    </xf>
    <xf numFmtId="164" fontId="12" fillId="5" borderId="38" xfId="22" applyNumberFormat="1" applyFont="1" applyFill="1" applyBorder="1" applyAlignment="1" applyProtection="1">
      <alignment horizontal="center" vertical="center"/>
      <protection/>
    </xf>
    <xf numFmtId="164" fontId="13" fillId="5" borderId="39" xfId="22" applyNumberFormat="1" applyFont="1" applyFill="1" applyBorder="1" applyAlignment="1" applyProtection="1">
      <alignment horizontal="center" vertical="center"/>
      <protection/>
    </xf>
    <xf numFmtId="164" fontId="13" fillId="0" borderId="37" xfId="22" applyNumberFormat="1" applyFont="1" applyBorder="1" applyAlignment="1" applyProtection="1">
      <alignment horizontal="center" vertical="center"/>
      <protection/>
    </xf>
    <xf numFmtId="164" fontId="10" fillId="0" borderId="38" xfId="22" applyNumberFormat="1" applyFont="1" applyBorder="1" applyAlignment="1" applyProtection="1">
      <alignment horizontal="center" vertical="center"/>
      <protection/>
    </xf>
    <xf numFmtId="164" fontId="10" fillId="0" borderId="38" xfId="0" applyNumberFormat="1" applyFont="1" applyBorder="1" applyAlignment="1" applyProtection="1">
      <alignment horizontal="center" vertical="center"/>
      <protection/>
    </xf>
    <xf numFmtId="164" fontId="10" fillId="5" borderId="38" xfId="22" applyNumberFormat="1" applyFont="1" applyFill="1" applyBorder="1" applyAlignment="1" applyProtection="1">
      <alignment horizontal="center" vertical="center"/>
      <protection/>
    </xf>
    <xf numFmtId="164" fontId="10" fillId="0" borderId="39" xfId="22" applyNumberFormat="1" applyFont="1" applyFill="1" applyBorder="1" applyAlignment="1" applyProtection="1">
      <alignment horizontal="center" vertical="center"/>
      <protection/>
    </xf>
    <xf numFmtId="164" fontId="13" fillId="0" borderId="37" xfId="0" applyNumberFormat="1" applyFont="1" applyBorder="1" applyAlignment="1" applyProtection="1">
      <alignment horizontal="center" vertical="center"/>
      <protection/>
    </xf>
    <xf numFmtId="164" fontId="10" fillId="5" borderId="38" xfId="0" applyNumberFormat="1" applyFont="1" applyFill="1" applyBorder="1" applyAlignment="1" applyProtection="1">
      <alignment horizontal="center" vertical="center"/>
      <protection/>
    </xf>
    <xf numFmtId="164" fontId="10" fillId="0" borderId="39" xfId="0" applyNumberFormat="1" applyFont="1" applyFill="1" applyBorder="1" applyAlignment="1" applyProtection="1">
      <alignment horizontal="center" vertical="center"/>
      <protection/>
    </xf>
    <xf numFmtId="164" fontId="10" fillId="0" borderId="37" xfId="22" applyNumberFormat="1" applyFont="1" applyBorder="1" applyAlignment="1" applyProtection="1">
      <alignment horizontal="center" vertical="center"/>
      <protection/>
    </xf>
    <xf numFmtId="164" fontId="10" fillId="0" borderId="37" xfId="0" applyNumberFormat="1" applyFont="1" applyBorder="1" applyAlignment="1" applyProtection="1">
      <alignment horizontal="center" vertical="center"/>
      <protection/>
    </xf>
    <xf numFmtId="164" fontId="20" fillId="3" borderId="37" xfId="22" applyNumberFormat="1" applyFont="1" applyFill="1" applyBorder="1" applyAlignment="1" applyProtection="1">
      <alignment horizontal="center" vertical="center"/>
      <protection/>
    </xf>
    <xf numFmtId="164" fontId="31" fillId="0" borderId="39" xfId="22" applyNumberFormat="1" applyFont="1" applyFill="1" applyBorder="1" applyAlignment="1" applyProtection="1">
      <alignment horizontal="center" vertical="center"/>
      <protection/>
    </xf>
    <xf numFmtId="164" fontId="35" fillId="0" borderId="0" xfId="22" applyNumberFormat="1" applyFont="1" applyFill="1" applyBorder="1" applyAlignment="1" applyProtection="1">
      <alignment horizontal="center" vertical="center"/>
      <protection/>
    </xf>
    <xf numFmtId="164" fontId="15" fillId="0" borderId="0" xfId="22" applyNumberFormat="1" applyFont="1" applyBorder="1" applyAlignment="1" applyProtection="1">
      <alignment horizontal="center" vertical="center"/>
      <protection/>
    </xf>
    <xf numFmtId="164" fontId="36" fillId="0" borderId="0" xfId="22" applyFont="1" applyFill="1" applyAlignment="1">
      <alignment horizontal="center" vertical="center"/>
      <protection/>
    </xf>
    <xf numFmtId="166" fontId="37" fillId="6" borderId="38" xfId="22" applyNumberFormat="1" applyFont="1" applyFill="1" applyBorder="1" applyAlignment="1">
      <alignment horizontal="center" vertical="center"/>
      <protection/>
    </xf>
    <xf numFmtId="164" fontId="37" fillId="6" borderId="38" xfId="22" applyFont="1" applyFill="1" applyBorder="1" applyAlignment="1">
      <alignment horizontal="center" vertical="center"/>
      <protection/>
    </xf>
    <xf numFmtId="164" fontId="37" fillId="0" borderId="0" xfId="22" applyFont="1" applyFill="1" applyBorder="1" applyAlignment="1">
      <alignment horizontal="center" vertical="center"/>
      <protection/>
    </xf>
    <xf numFmtId="164" fontId="36" fillId="6" borderId="38" xfId="22" applyFont="1" applyFill="1" applyBorder="1" applyAlignment="1">
      <alignment horizontal="center" vertical="center"/>
      <protection/>
    </xf>
    <xf numFmtId="164" fontId="38" fillId="6" borderId="38" xfId="22" applyFont="1" applyFill="1" applyBorder="1" applyAlignment="1">
      <alignment horizontal="center" vertical="center"/>
      <protection/>
    </xf>
    <xf numFmtId="170" fontId="37" fillId="6" borderId="38" xfId="22" applyNumberFormat="1" applyFont="1" applyFill="1" applyBorder="1" applyAlignment="1">
      <alignment horizontal="center" vertical="center"/>
      <protection/>
    </xf>
    <xf numFmtId="166" fontId="37" fillId="0" borderId="0" xfId="22" applyNumberFormat="1" applyFont="1" applyFill="1" applyBorder="1" applyAlignment="1">
      <alignment horizontal="center" vertical="center"/>
      <protection/>
    </xf>
    <xf numFmtId="171" fontId="37" fillId="6" borderId="38" xfId="22" applyNumberFormat="1" applyFont="1" applyFill="1" applyBorder="1" applyAlignment="1">
      <alignment horizontal="center" vertical="center"/>
      <protection/>
    </xf>
    <xf numFmtId="164" fontId="36" fillId="0" borderId="0" xfId="22" applyNumberFormat="1" applyFont="1" applyFill="1" applyAlignment="1">
      <alignment horizontal="center" vertical="center"/>
      <protection/>
    </xf>
    <xf numFmtId="164" fontId="36" fillId="0" borderId="0" xfId="0" applyNumberFormat="1" applyFont="1" applyFill="1" applyAlignment="1">
      <alignment horizontal="center" vertical="center"/>
    </xf>
    <xf numFmtId="164" fontId="39" fillId="0" borderId="0" xfId="22" applyNumberFormat="1" applyFont="1" applyFill="1" applyAlignment="1">
      <alignment horizontal="center" vertical="center" wrapText="1"/>
      <protection/>
    </xf>
    <xf numFmtId="164" fontId="39" fillId="0" borderId="0" xfId="22" applyNumberFormat="1" applyFont="1" applyFill="1" applyBorder="1" applyAlignment="1">
      <alignment horizontal="center" vertical="center" wrapText="1"/>
      <protection/>
    </xf>
    <xf numFmtId="164" fontId="39" fillId="0" borderId="0" xfId="0" applyNumberFormat="1" applyFont="1" applyFill="1" applyAlignment="1">
      <alignment horizontal="center" vertical="center" wrapText="1"/>
    </xf>
    <xf numFmtId="164" fontId="37" fillId="0" borderId="0" xfId="22" applyNumberFormat="1" applyFont="1" applyFill="1" applyAlignment="1">
      <alignment horizontal="center" vertical="center"/>
      <protection/>
    </xf>
    <xf numFmtId="164" fontId="40" fillId="5" borderId="40" xfId="22" applyNumberFormat="1" applyFont="1" applyFill="1" applyBorder="1" applyAlignment="1">
      <alignment horizontal="center" vertical="center"/>
      <protection/>
    </xf>
    <xf numFmtId="164" fontId="37" fillId="0" borderId="41" xfId="22" applyNumberFormat="1" applyFont="1" applyFill="1" applyBorder="1" applyAlignment="1">
      <alignment horizontal="center" vertical="center"/>
      <protection/>
    </xf>
    <xf numFmtId="164" fontId="40" fillId="0" borderId="33" xfId="22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Fill="1" applyAlignment="1">
      <alignment horizontal="center" vertical="center"/>
    </xf>
    <xf numFmtId="164" fontId="40" fillId="5" borderId="42" xfId="0" applyNumberFormat="1" applyFont="1" applyFill="1" applyBorder="1" applyAlignment="1">
      <alignment horizontal="center" vertical="center"/>
    </xf>
    <xf numFmtId="164" fontId="37" fillId="0" borderId="41" xfId="0" applyNumberFormat="1" applyFont="1" applyFill="1" applyBorder="1" applyAlignment="1">
      <alignment horizontal="center" vertical="center"/>
    </xf>
    <xf numFmtId="164" fontId="40" fillId="0" borderId="33" xfId="0" applyNumberFormat="1" applyFont="1" applyFill="1" applyBorder="1" applyAlignment="1">
      <alignment horizontal="center" vertical="center"/>
    </xf>
    <xf numFmtId="164" fontId="37" fillId="0" borderId="43" xfId="22" applyNumberFormat="1" applyFont="1" applyFill="1" applyBorder="1" applyAlignment="1">
      <alignment horizontal="center" vertical="center"/>
      <protection/>
    </xf>
    <xf numFmtId="164" fontId="40" fillId="5" borderId="42" xfId="22" applyNumberFormat="1" applyFont="1" applyFill="1" applyBorder="1" applyAlignment="1">
      <alignment horizontal="center" vertical="center"/>
      <protection/>
    </xf>
    <xf numFmtId="164" fontId="41" fillId="5" borderId="44" xfId="22" applyNumberFormat="1" applyFont="1" applyFill="1" applyBorder="1" applyAlignment="1">
      <alignment horizontal="center" vertical="center"/>
      <protection/>
    </xf>
    <xf numFmtId="164" fontId="41" fillId="5" borderId="45" xfId="22" applyNumberFormat="1" applyFont="1" applyFill="1" applyBorder="1" applyAlignment="1">
      <alignment horizontal="center" vertical="center"/>
      <protection/>
    </xf>
    <xf numFmtId="164" fontId="41" fillId="5" borderId="46" xfId="22" applyNumberFormat="1" applyFont="1" applyFill="1" applyBorder="1" applyAlignment="1">
      <alignment horizontal="center" vertical="center"/>
      <protection/>
    </xf>
    <xf numFmtId="164" fontId="41" fillId="5" borderId="44" xfId="0" applyNumberFormat="1" applyFont="1" applyFill="1" applyBorder="1" applyAlignment="1">
      <alignment horizontal="center" vertical="center"/>
    </xf>
    <xf numFmtId="164" fontId="41" fillId="5" borderId="45" xfId="0" applyNumberFormat="1" applyFont="1" applyFill="1" applyBorder="1" applyAlignment="1">
      <alignment horizontal="center" vertical="center"/>
    </xf>
    <xf numFmtId="164" fontId="41" fillId="5" borderId="46" xfId="0" applyNumberFormat="1" applyFont="1" applyFill="1" applyBorder="1" applyAlignment="1">
      <alignment horizontal="center" vertical="center"/>
    </xf>
    <xf numFmtId="164" fontId="40" fillId="0" borderId="47" xfId="22" applyNumberFormat="1" applyFont="1" applyFill="1" applyBorder="1" applyAlignment="1">
      <alignment horizontal="center" vertical="center"/>
      <protection/>
    </xf>
    <xf numFmtId="164" fontId="37" fillId="0" borderId="48" xfId="22" applyNumberFormat="1" applyFont="1" applyFill="1" applyBorder="1" applyAlignment="1">
      <alignment horizontal="center" vertical="center"/>
      <protection/>
    </xf>
    <xf numFmtId="164" fontId="37" fillId="0" borderId="1" xfId="22" applyNumberFormat="1" applyFont="1" applyFill="1" applyBorder="1" applyAlignment="1">
      <alignment horizontal="center" vertical="center"/>
      <protection/>
    </xf>
    <xf numFmtId="164" fontId="37" fillId="0" borderId="49" xfId="22" applyNumberFormat="1" applyFont="1" applyFill="1" applyBorder="1" applyAlignment="1">
      <alignment horizontal="center" vertical="center"/>
      <protection/>
    </xf>
    <xf numFmtId="164" fontId="40" fillId="0" borderId="47" xfId="0" applyNumberFormat="1" applyFont="1" applyFill="1" applyBorder="1" applyAlignment="1">
      <alignment horizontal="center" vertical="center"/>
    </xf>
    <xf numFmtId="164" fontId="37" fillId="0" borderId="48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/>
    </xf>
    <xf numFmtId="164" fontId="37" fillId="0" borderId="49" xfId="0" applyNumberFormat="1" applyFont="1" applyFill="1" applyBorder="1" applyAlignment="1">
      <alignment horizontal="center" vertical="center"/>
    </xf>
    <xf numFmtId="164" fontId="40" fillId="0" borderId="50" xfId="22" applyNumberFormat="1" applyFont="1" applyFill="1" applyBorder="1" applyAlignment="1">
      <alignment horizontal="center" vertical="center"/>
      <protection/>
    </xf>
    <xf numFmtId="164" fontId="37" fillId="0" borderId="33" xfId="22" applyNumberFormat="1" applyFont="1" applyFill="1" applyBorder="1" applyAlignment="1">
      <alignment horizontal="center" vertical="center"/>
      <protection/>
    </xf>
    <xf numFmtId="164" fontId="37" fillId="0" borderId="51" xfId="22" applyNumberFormat="1" applyFont="1" applyFill="1" applyBorder="1" applyAlignment="1">
      <alignment horizontal="center" vertical="center"/>
      <protection/>
    </xf>
    <xf numFmtId="164" fontId="40" fillId="0" borderId="50" xfId="0" applyNumberFormat="1" applyFont="1" applyFill="1" applyBorder="1" applyAlignment="1">
      <alignment horizontal="center" vertical="center"/>
    </xf>
    <xf numFmtId="164" fontId="37" fillId="0" borderId="33" xfId="0" applyNumberFormat="1" applyFont="1" applyFill="1" applyBorder="1" applyAlignment="1">
      <alignment horizontal="center" vertical="center"/>
    </xf>
    <xf numFmtId="164" fontId="37" fillId="0" borderId="51" xfId="0" applyNumberFormat="1" applyFont="1" applyFill="1" applyBorder="1" applyAlignment="1">
      <alignment horizontal="center" vertical="center"/>
    </xf>
    <xf numFmtId="164" fontId="37" fillId="0" borderId="0" xfId="22" applyNumberFormat="1" applyFont="1" applyFill="1" applyBorder="1" applyAlignment="1">
      <alignment horizontal="center" vertical="center"/>
      <protection/>
    </xf>
    <xf numFmtId="164" fontId="40" fillId="0" borderId="0" xfId="22" applyNumberFormat="1" applyFont="1" applyFill="1" applyAlignment="1">
      <alignment horizontal="center" vertical="center"/>
      <protection/>
    </xf>
    <xf numFmtId="164" fontId="40" fillId="0" borderId="0" xfId="0" applyNumberFormat="1" applyFont="1" applyFill="1" applyAlignment="1">
      <alignment horizontal="center" vertical="center"/>
    </xf>
    <xf numFmtId="164" fontId="37" fillId="0" borderId="43" xfId="0" applyNumberFormat="1" applyFont="1" applyFill="1" applyBorder="1" applyAlignment="1">
      <alignment horizontal="center" vertical="center"/>
    </xf>
    <xf numFmtId="164" fontId="40" fillId="0" borderId="52" xfId="22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22" applyFont="1" applyAlignment="1">
      <alignment horizontal="center" vertical="center"/>
      <protection/>
    </xf>
    <xf numFmtId="164" fontId="42" fillId="0" borderId="0" xfId="22" applyFont="1" applyBorder="1" applyAlignment="1">
      <alignment horizontal="center" vertical="center"/>
      <protection/>
    </xf>
    <xf numFmtId="164" fontId="43" fillId="0" borderId="0" xfId="22" applyFont="1" applyBorder="1" applyAlignment="1">
      <alignment horizontal="center" vertical="center"/>
      <protection/>
    </xf>
    <xf numFmtId="164" fontId="44" fillId="0" borderId="0" xfId="22" applyFont="1" applyBorder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4" fillId="0" borderId="0" xfId="0" applyFont="1" applyAlignment="1">
      <alignment horizontal="center" vertical="center"/>
    </xf>
    <xf numFmtId="164" fontId="46" fillId="7" borderId="42" xfId="22" applyFont="1" applyFill="1" applyBorder="1" applyAlignment="1">
      <alignment horizontal="center" vertical="center"/>
      <protection/>
    </xf>
    <xf numFmtId="164" fontId="47" fillId="0" borderId="50" xfId="22" applyFont="1" applyFill="1" applyBorder="1" applyAlignment="1">
      <alignment horizontal="center" vertical="center"/>
      <protection/>
    </xf>
    <xf numFmtId="164" fontId="46" fillId="7" borderId="42" xfId="0" applyFont="1" applyFill="1" applyBorder="1" applyAlignment="1">
      <alignment horizontal="center" vertical="center"/>
    </xf>
    <xf numFmtId="164" fontId="4" fillId="0" borderId="0" xfId="22" applyFont="1" applyFill="1" applyBorder="1" applyAlignment="1">
      <alignment horizontal="center" vertical="center"/>
      <protection/>
    </xf>
    <xf numFmtId="164" fontId="4" fillId="0" borderId="0" xfId="22" applyFont="1" applyFill="1" applyAlignment="1">
      <alignment horizontal="center" vertical="center"/>
      <protection/>
    </xf>
    <xf numFmtId="164" fontId="47" fillId="0" borderId="50" xfId="0" applyFont="1" applyFill="1" applyBorder="1" applyAlignment="1">
      <alignment horizontal="center" vertical="center"/>
    </xf>
    <xf numFmtId="164" fontId="41" fillId="0" borderId="0" xfId="22" applyFont="1" applyAlignment="1">
      <alignment horizontal="center" vertical="center"/>
      <protection/>
    </xf>
    <xf numFmtId="164" fontId="41" fillId="0" borderId="0" xfId="0" applyFont="1" applyAlignment="1">
      <alignment horizontal="center" vertical="center"/>
    </xf>
    <xf numFmtId="164" fontId="48" fillId="7" borderId="53" xfId="22" applyFont="1" applyFill="1" applyBorder="1" applyAlignment="1">
      <alignment horizontal="center" vertical="center"/>
      <protection/>
    </xf>
    <xf numFmtId="164" fontId="49" fillId="7" borderId="54" xfId="22" applyFont="1" applyFill="1" applyBorder="1" applyAlignment="1" applyProtection="1">
      <alignment horizontal="center" vertical="center"/>
      <protection locked="0"/>
    </xf>
    <xf numFmtId="164" fontId="49" fillId="7" borderId="55" xfId="22" applyFont="1" applyFill="1" applyBorder="1" applyAlignment="1" applyProtection="1">
      <alignment horizontal="center" vertical="center"/>
      <protection locked="0"/>
    </xf>
    <xf numFmtId="164" fontId="48" fillId="7" borderId="53" xfId="0" applyFont="1" applyFill="1" applyBorder="1" applyAlignment="1">
      <alignment horizontal="center" vertical="center"/>
    </xf>
    <xf numFmtId="164" fontId="41" fillId="0" borderId="0" xfId="22" applyFont="1" applyFill="1" applyBorder="1" applyAlignment="1">
      <alignment horizontal="center" vertical="center"/>
      <protection/>
    </xf>
    <xf numFmtId="164" fontId="41" fillId="0" borderId="0" xfId="22" applyFont="1" applyFill="1" applyAlignment="1">
      <alignment horizontal="center" vertical="center"/>
      <protection/>
    </xf>
    <xf numFmtId="164" fontId="49" fillId="7" borderId="54" xfId="0" applyFont="1" applyFill="1" applyBorder="1" applyAlignment="1" applyProtection="1">
      <alignment horizontal="center" vertical="center"/>
      <protection locked="0"/>
    </xf>
    <xf numFmtId="164" fontId="49" fillId="7" borderId="55" xfId="0" applyFont="1" applyFill="1" applyBorder="1" applyAlignment="1" applyProtection="1">
      <alignment horizontal="center" vertical="center"/>
      <protection locked="0"/>
    </xf>
    <xf numFmtId="164" fontId="49" fillId="7" borderId="56" xfId="22" applyFont="1" applyFill="1" applyBorder="1" applyAlignment="1" applyProtection="1">
      <alignment horizontal="center" vertical="center"/>
      <protection locked="0"/>
    </xf>
    <xf numFmtId="164" fontId="49" fillId="7" borderId="57" xfId="22" applyFont="1" applyFill="1" applyBorder="1" applyAlignment="1" applyProtection="1">
      <alignment horizontal="center" vertical="center"/>
      <protection locked="0"/>
    </xf>
    <xf numFmtId="164" fontId="49" fillId="7" borderId="56" xfId="0" applyFont="1" applyFill="1" applyBorder="1" applyAlignment="1" applyProtection="1">
      <alignment horizontal="center" vertical="center"/>
      <protection locked="0"/>
    </xf>
    <xf numFmtId="164" fontId="49" fillId="7" borderId="57" xfId="0" applyFont="1" applyFill="1" applyBorder="1" applyAlignment="1" applyProtection="1">
      <alignment horizontal="center" vertical="center"/>
      <protection locked="0"/>
    </xf>
    <xf numFmtId="164" fontId="49" fillId="7" borderId="58" xfId="22" applyFont="1" applyFill="1" applyBorder="1" applyAlignment="1" applyProtection="1">
      <alignment horizontal="center" vertical="center"/>
      <protection locked="0"/>
    </xf>
    <xf numFmtId="164" fontId="49" fillId="7" borderId="59" xfId="22" applyFont="1" applyFill="1" applyBorder="1" applyAlignment="1" applyProtection="1">
      <alignment horizontal="center" vertical="center"/>
      <protection locked="0"/>
    </xf>
    <xf numFmtId="164" fontId="49" fillId="7" borderId="58" xfId="0" applyFont="1" applyFill="1" applyBorder="1" applyAlignment="1" applyProtection="1">
      <alignment horizontal="center" vertical="center"/>
      <protection locked="0"/>
    </xf>
    <xf numFmtId="164" fontId="49" fillId="7" borderId="59" xfId="0" applyFont="1" applyFill="1" applyBorder="1" applyAlignment="1" applyProtection="1">
      <alignment horizontal="center" vertical="center"/>
      <protection locked="0"/>
    </xf>
    <xf numFmtId="164" fontId="50" fillId="0" borderId="0" xfId="22" applyFont="1" applyAlignment="1">
      <alignment horizontal="center" vertical="center"/>
      <protection/>
    </xf>
    <xf numFmtId="164" fontId="51" fillId="0" borderId="60" xfId="22" applyFont="1" applyBorder="1" applyAlignment="1">
      <alignment horizontal="center" vertical="center"/>
      <protection/>
    </xf>
    <xf numFmtId="164" fontId="52" fillId="0" borderId="52" xfId="22" applyFont="1" applyBorder="1" applyAlignment="1" applyProtection="1">
      <alignment horizontal="center" vertical="center"/>
      <protection locked="0"/>
    </xf>
    <xf numFmtId="164" fontId="53" fillId="0" borderId="40" xfId="22" applyFont="1" applyBorder="1" applyAlignment="1">
      <alignment horizontal="center" vertical="center"/>
      <protection/>
    </xf>
    <xf numFmtId="164" fontId="52" fillId="0" borderId="52" xfId="0" applyFont="1" applyBorder="1" applyAlignment="1" applyProtection="1">
      <alignment horizontal="center" vertical="center"/>
      <protection locked="0"/>
    </xf>
    <xf numFmtId="164" fontId="51" fillId="0" borderId="61" xfId="22" applyFont="1" applyBorder="1" applyAlignment="1">
      <alignment horizontal="center" vertical="center"/>
      <protection/>
    </xf>
    <xf numFmtId="164" fontId="54" fillId="0" borderId="0" xfId="22" applyFont="1" applyFill="1" applyBorder="1" applyAlignment="1">
      <alignment horizontal="center" vertical="center"/>
      <protection/>
    </xf>
    <xf numFmtId="164" fontId="50" fillId="0" borderId="0" xfId="0" applyFont="1" applyAlignment="1">
      <alignment horizontal="center" vertical="center"/>
    </xf>
    <xf numFmtId="164" fontId="51" fillId="0" borderId="60" xfId="0" applyFont="1" applyBorder="1" applyAlignment="1">
      <alignment horizontal="center" vertical="center"/>
    </xf>
    <xf numFmtId="164" fontId="53" fillId="0" borderId="40" xfId="0" applyFont="1" applyBorder="1" applyAlignment="1">
      <alignment horizontal="center" vertical="center"/>
    </xf>
    <xf numFmtId="164" fontId="51" fillId="0" borderId="61" xfId="0" applyFont="1" applyBorder="1" applyAlignment="1">
      <alignment horizontal="center" vertical="center"/>
    </xf>
    <xf numFmtId="164" fontId="54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52" fillId="0" borderId="62" xfId="22" applyFont="1" applyBorder="1" applyAlignment="1" applyProtection="1">
      <alignment horizontal="center" vertical="center"/>
      <protection locked="0"/>
    </xf>
    <xf numFmtId="164" fontId="53" fillId="0" borderId="53" xfId="22" applyFont="1" applyBorder="1" applyAlignment="1">
      <alignment horizontal="center" vertical="center"/>
      <protection/>
    </xf>
    <xf numFmtId="164" fontId="52" fillId="0" borderId="62" xfId="0" applyFont="1" applyBorder="1" applyAlignment="1" applyProtection="1">
      <alignment horizontal="center" vertical="center"/>
      <protection locked="0"/>
    </xf>
    <xf numFmtId="164" fontId="53" fillId="0" borderId="53" xfId="0" applyFont="1" applyBorder="1" applyAlignment="1">
      <alignment horizontal="center" vertical="center"/>
    </xf>
    <xf numFmtId="164" fontId="52" fillId="0" borderId="63" xfId="22" applyFont="1" applyBorder="1" applyAlignment="1" applyProtection="1">
      <alignment horizontal="center" vertical="center"/>
      <protection locked="0"/>
    </xf>
    <xf numFmtId="164" fontId="52" fillId="0" borderId="63" xfId="0" applyFont="1" applyBorder="1" applyAlignment="1" applyProtection="1">
      <alignment horizontal="center" vertical="center"/>
      <protection locked="0"/>
    </xf>
    <xf numFmtId="164" fontId="0" fillId="0" borderId="0" xfId="22" applyFont="1" applyFill="1" applyBorder="1" applyAlignment="1">
      <alignment horizontal="center" vertical="center"/>
      <protection/>
    </xf>
    <xf numFmtId="164" fontId="0" fillId="0" borderId="0" xfId="0" applyFont="1" applyFill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4" fillId="0" borderId="0" xfId="22" applyFont="1" applyBorder="1" applyAlignment="1">
      <alignment horizontal="center" vertical="center"/>
      <protection/>
    </xf>
    <xf numFmtId="164" fontId="41" fillId="0" borderId="0" xfId="0" applyFont="1" applyFill="1" applyBorder="1" applyAlignment="1">
      <alignment horizontal="center" vertical="center"/>
    </xf>
    <xf numFmtId="164" fontId="41" fillId="0" borderId="0" xfId="0" applyFont="1" applyFill="1" applyAlignment="1">
      <alignment horizontal="center" vertical="center"/>
    </xf>
    <xf numFmtId="164" fontId="41" fillId="0" borderId="0" xfId="22" applyFont="1" applyBorder="1" applyAlignment="1">
      <alignment horizontal="center" vertical="center"/>
      <protection/>
    </xf>
    <xf numFmtId="164" fontId="45" fillId="0" borderId="0" xfId="22" applyFont="1" applyBorder="1" applyAlignment="1">
      <alignment horizontal="center" vertical="center"/>
      <protection/>
    </xf>
    <xf numFmtId="164" fontId="46" fillId="8" borderId="42" xfId="22" applyFont="1" applyFill="1" applyBorder="1" applyAlignment="1">
      <alignment horizontal="center" vertical="center"/>
      <protection/>
    </xf>
    <xf numFmtId="164" fontId="46" fillId="8" borderId="4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48" fillId="8" borderId="53" xfId="22" applyFont="1" applyFill="1" applyBorder="1" applyAlignment="1">
      <alignment horizontal="center" vertical="center"/>
      <protection/>
    </xf>
    <xf numFmtId="164" fontId="49" fillId="8" borderId="54" xfId="22" applyFont="1" applyFill="1" applyBorder="1" applyAlignment="1" applyProtection="1">
      <alignment horizontal="center" vertical="center"/>
      <protection locked="0"/>
    </xf>
    <xf numFmtId="164" fontId="49" fillId="8" borderId="55" xfId="22" applyFont="1" applyFill="1" applyBorder="1" applyAlignment="1" applyProtection="1">
      <alignment horizontal="center" vertical="center"/>
      <protection locked="0"/>
    </xf>
    <xf numFmtId="164" fontId="48" fillId="8" borderId="53" xfId="0" applyFont="1" applyFill="1" applyBorder="1" applyAlignment="1">
      <alignment horizontal="center" vertical="center"/>
    </xf>
    <xf numFmtId="164" fontId="49" fillId="8" borderId="54" xfId="0" applyFont="1" applyFill="1" applyBorder="1" applyAlignment="1" applyProtection="1">
      <alignment horizontal="center" vertical="center"/>
      <protection locked="0"/>
    </xf>
    <xf numFmtId="164" fontId="49" fillId="8" borderId="55" xfId="0" applyFont="1" applyFill="1" applyBorder="1" applyAlignment="1" applyProtection="1">
      <alignment horizontal="center" vertical="center"/>
      <protection locked="0"/>
    </xf>
    <xf numFmtId="164" fontId="55" fillId="0" borderId="0" xfId="22" applyFont="1" applyAlignment="1">
      <alignment horizontal="center" vertical="center"/>
      <protection/>
    </xf>
    <xf numFmtId="164" fontId="49" fillId="8" borderId="56" xfId="22" applyFont="1" applyFill="1" applyBorder="1" applyAlignment="1" applyProtection="1">
      <alignment horizontal="center" vertical="center"/>
      <protection locked="0"/>
    </xf>
    <xf numFmtId="164" fontId="49" fillId="8" borderId="57" xfId="22" applyFont="1" applyFill="1" applyBorder="1" applyAlignment="1" applyProtection="1">
      <alignment horizontal="center" vertical="center"/>
      <protection locked="0"/>
    </xf>
    <xf numFmtId="164" fontId="49" fillId="8" borderId="56" xfId="0" applyFont="1" applyFill="1" applyBorder="1" applyAlignment="1" applyProtection="1">
      <alignment horizontal="center" vertical="center"/>
      <protection locked="0"/>
    </xf>
    <xf numFmtId="164" fontId="49" fillId="8" borderId="57" xfId="0" applyFont="1" applyFill="1" applyBorder="1" applyAlignment="1" applyProtection="1">
      <alignment horizontal="center" vertical="center"/>
      <protection locked="0"/>
    </xf>
    <xf numFmtId="164" fontId="49" fillId="8" borderId="58" xfId="22" applyFont="1" applyFill="1" applyBorder="1" applyAlignment="1" applyProtection="1">
      <alignment horizontal="center" vertical="center"/>
      <protection locked="0"/>
    </xf>
    <xf numFmtId="164" fontId="49" fillId="8" borderId="59" xfId="22" applyFont="1" applyFill="1" applyBorder="1" applyAlignment="1" applyProtection="1">
      <alignment horizontal="center" vertical="center"/>
      <protection locked="0"/>
    </xf>
    <xf numFmtId="164" fontId="49" fillId="8" borderId="58" xfId="0" applyFont="1" applyFill="1" applyBorder="1" applyAlignment="1" applyProtection="1">
      <alignment horizontal="center" vertical="center"/>
      <protection locked="0"/>
    </xf>
    <xf numFmtId="164" fontId="49" fillId="8" borderId="59" xfId="0" applyFont="1" applyFill="1" applyBorder="1" applyAlignment="1" applyProtection="1">
      <alignment horizontal="center" vertical="center"/>
      <protection locked="0"/>
    </xf>
    <xf numFmtId="164" fontId="50" fillId="0" borderId="0" xfId="0" applyFont="1" applyBorder="1" applyAlignment="1">
      <alignment horizontal="center" vertical="center"/>
    </xf>
    <xf numFmtId="164" fontId="0" fillId="0" borderId="0" xfId="22" applyFont="1" applyFill="1" applyAlignment="1">
      <alignment horizontal="center" vertical="center"/>
      <protection/>
    </xf>
    <xf numFmtId="164" fontId="45" fillId="0" borderId="0" xfId="0" applyFont="1" applyBorder="1" applyAlignment="1">
      <alignment horizontal="center" vertical="center"/>
    </xf>
    <xf numFmtId="164" fontId="56" fillId="0" borderId="0" xfId="0" applyFont="1" applyBorder="1" applyAlignment="1">
      <alignment horizontal="center" vertical="center"/>
    </xf>
    <xf numFmtId="164" fontId="57" fillId="0" borderId="43" xfId="22" applyFont="1" applyBorder="1" applyAlignment="1">
      <alignment horizontal="center" vertical="center"/>
      <protection/>
    </xf>
    <xf numFmtId="164" fontId="40" fillId="5" borderId="42" xfId="22" applyFont="1" applyFill="1" applyBorder="1" applyAlignment="1">
      <alignment horizontal="center" vertical="center"/>
      <protection/>
    </xf>
    <xf numFmtId="164" fontId="46" fillId="5" borderId="42" xfId="0" applyFont="1" applyFill="1" applyBorder="1" applyAlignment="1">
      <alignment horizontal="center" vertical="center"/>
    </xf>
    <xf numFmtId="164" fontId="57" fillId="0" borderId="64" xfId="22" applyFont="1" applyFill="1" applyBorder="1" applyAlignment="1">
      <alignment horizontal="center" vertical="center"/>
      <protection/>
    </xf>
    <xf numFmtId="164" fontId="41" fillId="5" borderId="53" xfId="22" applyFont="1" applyFill="1" applyBorder="1" applyAlignment="1">
      <alignment horizontal="center" vertical="center"/>
      <protection/>
    </xf>
    <xf numFmtId="164" fontId="49" fillId="9" borderId="54" xfId="22" applyFont="1" applyFill="1" applyBorder="1" applyAlignment="1" applyProtection="1">
      <alignment horizontal="center" vertical="center"/>
      <protection locked="0"/>
    </xf>
    <xf numFmtId="164" fontId="49" fillId="9" borderId="55" xfId="22" applyFont="1" applyFill="1" applyBorder="1" applyAlignment="1" applyProtection="1">
      <alignment horizontal="center" vertical="center"/>
      <protection locked="0"/>
    </xf>
    <xf numFmtId="164" fontId="48" fillId="5" borderId="53" xfId="0" applyFont="1" applyFill="1" applyBorder="1" applyAlignment="1">
      <alignment horizontal="center" vertical="center"/>
    </xf>
    <xf numFmtId="164" fontId="49" fillId="9" borderId="56" xfId="22" applyFont="1" applyFill="1" applyBorder="1" applyAlignment="1" applyProtection="1">
      <alignment horizontal="center" vertical="center"/>
      <protection locked="0"/>
    </xf>
    <xf numFmtId="164" fontId="49" fillId="9" borderId="57" xfId="22" applyFont="1" applyFill="1" applyBorder="1" applyAlignment="1" applyProtection="1">
      <alignment horizontal="center" vertical="center"/>
      <protection locked="0"/>
    </xf>
    <xf numFmtId="164" fontId="49" fillId="9" borderId="58" xfId="22" applyFont="1" applyFill="1" applyBorder="1" applyAlignment="1" applyProtection="1">
      <alignment horizontal="center" vertical="center"/>
      <protection locked="0"/>
    </xf>
    <xf numFmtId="164" fontId="49" fillId="9" borderId="59" xfId="22" applyFont="1" applyFill="1" applyBorder="1" applyAlignment="1" applyProtection="1">
      <alignment horizontal="center" vertical="center"/>
      <protection locked="0"/>
    </xf>
    <xf numFmtId="164" fontId="56" fillId="0" borderId="0" xfId="22" applyFont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57" fillId="0" borderId="43" xfId="22" applyFont="1" applyFill="1" applyBorder="1" applyAlignment="1">
      <alignment horizontal="center" vertical="center"/>
      <protection/>
    </xf>
    <xf numFmtId="164" fontId="40" fillId="10" borderId="42" xfId="22" applyFont="1" applyFill="1" applyBorder="1" applyAlignment="1">
      <alignment horizontal="center" vertical="center"/>
      <protection/>
    </xf>
    <xf numFmtId="164" fontId="40" fillId="10" borderId="42" xfId="0" applyFont="1" applyFill="1" applyBorder="1" applyAlignment="1">
      <alignment horizontal="center" vertical="center"/>
    </xf>
    <xf numFmtId="164" fontId="57" fillId="0" borderId="64" xfId="22" applyFont="1" applyBorder="1" applyAlignment="1">
      <alignment horizontal="center" vertical="center"/>
      <protection/>
    </xf>
    <xf numFmtId="164" fontId="41" fillId="10" borderId="53" xfId="22" applyFont="1" applyFill="1" applyBorder="1" applyAlignment="1">
      <alignment horizontal="center" vertical="center"/>
      <protection/>
    </xf>
    <xf numFmtId="164" fontId="58" fillId="10" borderId="54" xfId="22" applyFont="1" applyFill="1" applyBorder="1" applyAlignment="1" applyProtection="1">
      <alignment horizontal="center" vertical="center"/>
      <protection locked="0"/>
    </xf>
    <xf numFmtId="164" fontId="58" fillId="10" borderId="55" xfId="22" applyFont="1" applyFill="1" applyBorder="1" applyAlignment="1" applyProtection="1">
      <alignment horizontal="center" vertical="center"/>
      <protection locked="0"/>
    </xf>
    <xf numFmtId="164" fontId="41" fillId="10" borderId="53" xfId="0" applyFont="1" applyFill="1" applyBorder="1" applyAlignment="1">
      <alignment horizontal="center" vertical="center"/>
    </xf>
    <xf numFmtId="164" fontId="58" fillId="10" borderId="56" xfId="22" applyFont="1" applyFill="1" applyBorder="1" applyAlignment="1" applyProtection="1">
      <alignment horizontal="center" vertical="center"/>
      <protection locked="0"/>
    </xf>
    <xf numFmtId="164" fontId="58" fillId="10" borderId="57" xfId="22" applyFont="1" applyFill="1" applyBorder="1" applyAlignment="1" applyProtection="1">
      <alignment horizontal="center" vertical="center"/>
      <protection locked="0"/>
    </xf>
    <xf numFmtId="164" fontId="58" fillId="10" borderId="58" xfId="22" applyFont="1" applyFill="1" applyBorder="1" applyAlignment="1" applyProtection="1">
      <alignment horizontal="center" vertical="center"/>
      <protection locked="0"/>
    </xf>
    <xf numFmtId="164" fontId="58" fillId="10" borderId="59" xfId="22" applyFont="1" applyFill="1" applyBorder="1" applyAlignment="1" applyProtection="1">
      <alignment horizontal="center" vertical="center"/>
      <protection locked="0"/>
    </xf>
    <xf numFmtId="164" fontId="50" fillId="0" borderId="0" xfId="22" applyFont="1" applyBorder="1" applyAlignment="1">
      <alignment horizontal="center" vertical="center"/>
      <protection/>
    </xf>
    <xf numFmtId="164" fontId="59" fillId="0" borderId="0" xfId="22" applyFont="1" applyAlignment="1">
      <alignment horizontal="center" vertical="center"/>
      <protection/>
    </xf>
    <xf numFmtId="164" fontId="39" fillId="0" borderId="1" xfId="22" applyFont="1" applyBorder="1" applyAlignment="1">
      <alignment horizontal="center" vertical="center" wrapText="1"/>
      <protection/>
    </xf>
    <xf numFmtId="164" fontId="60" fillId="0" borderId="0" xfId="22" applyFont="1" applyAlignment="1">
      <alignment horizontal="center" vertical="center"/>
      <protection/>
    </xf>
    <xf numFmtId="164" fontId="61" fillId="0" borderId="0" xfId="22" applyFont="1" applyAlignment="1">
      <alignment horizontal="center" vertical="center"/>
      <protection/>
    </xf>
    <xf numFmtId="164" fontId="59" fillId="0" borderId="0" xfId="22" applyFont="1" applyAlignment="1" applyProtection="1">
      <alignment horizontal="center" vertical="center"/>
      <protection locked="0"/>
    </xf>
    <xf numFmtId="164" fontId="62" fillId="0" borderId="0" xfId="22" applyFont="1" applyAlignment="1" applyProtection="1">
      <alignment horizontal="center" vertical="center"/>
      <protection locked="0"/>
    </xf>
    <xf numFmtId="164" fontId="63" fillId="0" borderId="2" xfId="22" applyFont="1" applyBorder="1" applyAlignment="1">
      <alignment horizontal="center" vertical="center"/>
      <protection/>
    </xf>
    <xf numFmtId="164" fontId="64" fillId="0" borderId="0" xfId="22" applyFont="1" applyAlignment="1">
      <alignment horizontal="center" vertical="center"/>
      <protection/>
    </xf>
    <xf numFmtId="164" fontId="65" fillId="0" borderId="0" xfId="0" applyFont="1" applyBorder="1" applyAlignment="1">
      <alignment horizontal="center" vertical="center"/>
    </xf>
    <xf numFmtId="164" fontId="65" fillId="0" borderId="0" xfId="22" applyFont="1" applyAlignment="1">
      <alignment horizontal="center" vertical="center"/>
      <protection/>
    </xf>
    <xf numFmtId="164" fontId="65" fillId="0" borderId="0" xfId="22" applyFont="1" applyAlignment="1" applyProtection="1">
      <alignment horizontal="center" vertical="center" wrapText="1"/>
      <protection locked="0"/>
    </xf>
    <xf numFmtId="164" fontId="65" fillId="0" borderId="0" xfId="22" applyFont="1" applyAlignment="1">
      <alignment horizontal="center" vertical="center" wrapText="1"/>
      <protection/>
    </xf>
    <xf numFmtId="164" fontId="66" fillId="0" borderId="0" xfId="22" applyFont="1" applyBorder="1" applyAlignment="1">
      <alignment horizontal="center" vertical="center"/>
      <protection/>
    </xf>
    <xf numFmtId="164" fontId="67" fillId="0" borderId="0" xfId="22" applyFont="1" applyAlignment="1">
      <alignment horizontal="center" vertical="center"/>
      <protection/>
    </xf>
    <xf numFmtId="164" fontId="68" fillId="0" borderId="0" xfId="22" applyFont="1" applyAlignment="1">
      <alignment horizontal="center" vertical="center"/>
      <protection/>
    </xf>
    <xf numFmtId="164" fontId="69" fillId="0" borderId="0" xfId="22" applyFont="1" applyBorder="1" applyAlignment="1">
      <alignment horizontal="center" vertical="center"/>
      <protection/>
    </xf>
    <xf numFmtId="164" fontId="70" fillId="0" borderId="65" xfId="22" applyFont="1" applyFill="1" applyBorder="1" applyAlignment="1" applyProtection="1">
      <alignment horizontal="center" vertical="center"/>
      <protection locked="0"/>
    </xf>
    <xf numFmtId="164" fontId="70" fillId="0" borderId="0" xfId="22" applyFont="1" applyFill="1" applyBorder="1" applyAlignment="1" applyProtection="1">
      <alignment horizontal="center" vertical="center"/>
      <protection locked="0"/>
    </xf>
    <xf numFmtId="164" fontId="70" fillId="0" borderId="0" xfId="22" applyFont="1" applyFill="1" applyBorder="1" applyAlignment="1" applyProtection="1">
      <alignment horizontal="center" vertical="center" wrapText="1"/>
      <protection locked="0"/>
    </xf>
    <xf numFmtId="164" fontId="71" fillId="0" borderId="0" xfId="22" applyFont="1" applyFill="1" applyBorder="1" applyAlignment="1" applyProtection="1">
      <alignment horizontal="center" vertical="center" wrapText="1"/>
      <protection locked="0"/>
    </xf>
    <xf numFmtId="172" fontId="72" fillId="0" borderId="0" xfId="22" applyNumberFormat="1" applyFont="1" applyFill="1" applyBorder="1" applyAlignment="1" applyProtection="1">
      <alignment horizontal="center" vertical="center" wrapText="1"/>
      <protection locked="0"/>
    </xf>
    <xf numFmtId="164" fontId="72" fillId="0" borderId="0" xfId="22" applyFont="1" applyFill="1" applyBorder="1" applyAlignment="1" applyProtection="1">
      <alignment horizontal="center" vertical="center" wrapText="1"/>
      <protection locked="0"/>
    </xf>
    <xf numFmtId="164" fontId="65" fillId="0" borderId="0" xfId="22" applyFont="1" applyBorder="1" applyAlignment="1" applyProtection="1">
      <alignment horizontal="left" vertical="center" wrapText="1"/>
      <protection locked="0"/>
    </xf>
    <xf numFmtId="164" fontId="65" fillId="0" borderId="0" xfId="22" applyFont="1" applyBorder="1" applyAlignment="1" applyProtection="1">
      <alignment horizontal="center" vertical="center" wrapText="1"/>
      <protection locked="0"/>
    </xf>
    <xf numFmtId="164" fontId="73" fillId="0" borderId="66" xfId="22" applyFont="1" applyFill="1" applyBorder="1" applyAlignment="1" applyProtection="1">
      <alignment horizontal="center" vertical="center"/>
      <protection locked="0"/>
    </xf>
    <xf numFmtId="164" fontId="74" fillId="0" borderId="67" xfId="22" applyFont="1" applyFill="1" applyBorder="1" applyAlignment="1" applyProtection="1">
      <alignment horizontal="center" vertical="center" wrapText="1"/>
      <protection locked="0"/>
    </xf>
    <xf numFmtId="164" fontId="74" fillId="0" borderId="67" xfId="0" applyFont="1" applyFill="1" applyBorder="1" applyAlignment="1" applyProtection="1">
      <alignment horizontal="center" vertical="center" wrapText="1"/>
      <protection locked="0"/>
    </xf>
    <xf numFmtId="167" fontId="75" fillId="0" borderId="67" xfId="22" applyNumberFormat="1" applyFont="1" applyFill="1" applyBorder="1" applyAlignment="1" applyProtection="1">
      <alignment horizontal="center" vertical="center" wrapText="1"/>
      <protection locked="0"/>
    </xf>
    <xf numFmtId="164" fontId="76" fillId="0" borderId="67" xfId="22" applyNumberFormat="1" applyFont="1" applyFill="1" applyBorder="1" applyAlignment="1" applyProtection="1">
      <alignment horizontal="center" vertical="center" wrapText="1"/>
      <protection locked="0"/>
    </xf>
    <xf numFmtId="166" fontId="77" fillId="0" borderId="67" xfId="22" applyNumberFormat="1" applyFont="1" applyFill="1" applyBorder="1" applyAlignment="1" applyProtection="1">
      <alignment horizontal="center" vertical="center"/>
      <protection locked="0"/>
    </xf>
    <xf numFmtId="164" fontId="78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65" fillId="0" borderId="0" xfId="22" applyFont="1" applyFill="1" applyBorder="1" applyAlignment="1" applyProtection="1">
      <alignment horizontal="center" vertical="center" wrapText="1"/>
      <protection locked="0"/>
    </xf>
    <xf numFmtId="164" fontId="65" fillId="0" borderId="0" xfId="22" applyFont="1" applyBorder="1" applyAlignment="1" applyProtection="1">
      <alignment horizontal="center" vertical="center"/>
      <protection locked="0"/>
    </xf>
    <xf numFmtId="164" fontId="74" fillId="0" borderId="67" xfId="22" applyFont="1" applyFill="1" applyBorder="1" applyAlignment="1" applyProtection="1">
      <alignment horizontal="center" vertical="center"/>
      <protection locked="0"/>
    </xf>
    <xf numFmtId="164" fontId="74" fillId="0" borderId="67" xfId="0" applyFont="1" applyFill="1" applyBorder="1" applyAlignment="1" applyProtection="1">
      <alignment horizontal="center" vertical="center"/>
      <protection locked="0"/>
    </xf>
    <xf numFmtId="164" fontId="79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65" fillId="0" borderId="0" xfId="22" applyFont="1" applyFill="1" applyBorder="1" applyAlignment="1" applyProtection="1">
      <alignment horizontal="center" vertical="center"/>
      <protection locked="0"/>
    </xf>
    <xf numFmtId="164" fontId="73" fillId="0" borderId="66" xfId="22" applyFont="1" applyBorder="1" applyAlignment="1" applyProtection="1">
      <alignment horizontal="center" vertical="center"/>
      <protection locked="0"/>
    </xf>
    <xf numFmtId="164" fontId="74" fillId="0" borderId="67" xfId="22" applyFont="1" applyBorder="1" applyAlignment="1" applyProtection="1">
      <alignment horizontal="center" vertical="center"/>
      <protection locked="0"/>
    </xf>
    <xf numFmtId="164" fontId="74" fillId="0" borderId="67" xfId="0" applyFont="1" applyBorder="1" applyAlignment="1" applyProtection="1">
      <alignment horizontal="center" vertical="center"/>
      <protection locked="0"/>
    </xf>
    <xf numFmtId="164" fontId="65" fillId="0" borderId="0" xfId="0" applyFont="1" applyBorder="1" applyAlignment="1" applyProtection="1">
      <alignment horizontal="center" vertical="center"/>
      <protection locked="0"/>
    </xf>
    <xf numFmtId="164" fontId="80" fillId="0" borderId="0" xfId="22" applyFont="1" applyBorder="1" applyAlignment="1" applyProtection="1">
      <alignment horizontal="center" vertical="center" wrapText="1"/>
      <protection locked="0"/>
    </xf>
    <xf numFmtId="167" fontId="75" fillId="0" borderId="67" xfId="22" applyNumberFormat="1" applyFont="1" applyBorder="1" applyAlignment="1" applyProtection="1">
      <alignment horizontal="center" vertical="center"/>
      <protection locked="0"/>
    </xf>
    <xf numFmtId="164" fontId="73" fillId="0" borderId="67" xfId="22" applyNumberFormat="1" applyFont="1" applyBorder="1" applyAlignment="1" applyProtection="1">
      <alignment horizontal="center" vertical="center"/>
      <protection locked="0"/>
    </xf>
    <xf numFmtId="164" fontId="70" fillId="0" borderId="67" xfId="22" applyFont="1" applyFill="1" applyBorder="1" applyAlignment="1" applyProtection="1">
      <alignment horizontal="center" vertical="center" textRotation="90" wrapText="1"/>
      <protection locked="0"/>
    </xf>
    <xf numFmtId="164" fontId="65" fillId="0" borderId="0" xfId="22" applyFont="1" applyBorder="1" applyAlignment="1">
      <alignment horizontal="center" vertical="center"/>
      <protection/>
    </xf>
    <xf numFmtId="173" fontId="65" fillId="0" borderId="0" xfId="22" applyNumberFormat="1" applyFont="1" applyBorder="1" applyAlignment="1" applyProtection="1">
      <alignment horizontal="center" vertical="center" wrapText="1"/>
      <protection locked="0"/>
    </xf>
    <xf numFmtId="164" fontId="65" fillId="0" borderId="0" xfId="0" applyFont="1" applyBorder="1" applyAlignment="1" applyProtection="1">
      <alignment horizontal="center" vertical="center" wrapText="1"/>
      <protection locked="0"/>
    </xf>
    <xf numFmtId="164" fontId="65" fillId="0" borderId="68" xfId="22" applyFont="1" applyBorder="1" applyAlignment="1" applyProtection="1">
      <alignment horizontal="center" vertical="center"/>
      <protection locked="0"/>
    </xf>
    <xf numFmtId="164" fontId="73" fillId="0" borderId="66" xfId="22" applyFont="1" applyBorder="1" applyAlignment="1">
      <alignment horizontal="center" vertical="center"/>
      <protection/>
    </xf>
    <xf numFmtId="164" fontId="73" fillId="0" borderId="66" xfId="0" applyFont="1" applyBorder="1" applyAlignment="1" applyProtection="1">
      <alignment horizontal="center" vertical="center"/>
      <protection locked="0"/>
    </xf>
    <xf numFmtId="166" fontId="81" fillId="0" borderId="67" xfId="22" applyNumberFormat="1" applyFont="1" applyBorder="1" applyAlignment="1" applyProtection="1">
      <alignment horizontal="center" vertical="center"/>
      <protection locked="0"/>
    </xf>
    <xf numFmtId="164" fontId="73" fillId="0" borderId="66" xfId="0" applyFont="1" applyBorder="1" applyAlignment="1">
      <alignment horizontal="center" vertical="center"/>
    </xf>
    <xf numFmtId="164" fontId="65" fillId="0" borderId="0" xfId="22" applyFont="1" applyBorder="1" applyAlignment="1" applyProtection="1">
      <alignment vertical="center" wrapText="1"/>
      <protection locked="0"/>
    </xf>
    <xf numFmtId="164" fontId="73" fillId="0" borderId="69" xfId="22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CdFC carabine 10m Adultes 8+" xfId="21"/>
    <cellStyle name="Excel Built-in Normal" xfId="22"/>
  </cellStyles>
  <dxfs count="1">
    <dxf>
      <font>
        <b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8000"/>
      <rgbColor rgb="0000009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E6B9B8"/>
      <rgbColor rgb="003366FF"/>
      <rgbColor rgb="0033CCCC"/>
      <rgbColor rgb="0099CC00"/>
      <rgbColor rgb="00ECD300"/>
      <rgbColor rgb="00FF9900"/>
      <rgbColor rgb="00FF6600"/>
      <rgbColor rgb="00558ED5"/>
      <rgbColor rgb="00969696"/>
      <rgbColor rgb="0017375E"/>
      <rgbColor rgb="00339966"/>
      <rgbColor rgb="00003300"/>
      <rgbColor rgb="00333300"/>
      <rgbColor rgb="00984807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1181100</xdr:rowOff>
    </xdr:from>
    <xdr:to>
      <xdr:col>1</xdr:col>
      <xdr:colOff>2686050</xdr:colOff>
      <xdr:row>3</xdr:row>
      <xdr:rowOff>1038225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71725"/>
          <a:ext cx="3838575" cy="261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819150</xdr:colOff>
      <xdr:row>1</xdr:row>
      <xdr:rowOff>1181100</xdr:rowOff>
    </xdr:from>
    <xdr:to>
      <xdr:col>33</xdr:col>
      <xdr:colOff>1752600</xdr:colOff>
      <xdr:row>3</xdr:row>
      <xdr:rowOff>904875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0225" y="2371725"/>
          <a:ext cx="2200275" cy="2486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33</xdr:row>
      <xdr:rowOff>371475</xdr:rowOff>
    </xdr:from>
    <xdr:to>
      <xdr:col>8</xdr:col>
      <xdr:colOff>47625</xdr:colOff>
      <xdr:row>33</xdr:row>
      <xdr:rowOff>371475</xdr:rowOff>
    </xdr:to>
    <xdr:sp>
      <xdr:nvSpPr>
        <xdr:cNvPr id="1" name="Line 9"/>
        <xdr:cNvSpPr>
          <a:spLocks/>
        </xdr:cNvSpPr>
      </xdr:nvSpPr>
      <xdr:spPr>
        <a:xfrm flipH="1">
          <a:off x="828675" y="9877425"/>
          <a:ext cx="416242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33</xdr:row>
      <xdr:rowOff>371475</xdr:rowOff>
    </xdr:from>
    <xdr:to>
      <xdr:col>20</xdr:col>
      <xdr:colOff>561975</xdr:colOff>
      <xdr:row>33</xdr:row>
      <xdr:rowOff>371475</xdr:rowOff>
    </xdr:to>
    <xdr:sp>
      <xdr:nvSpPr>
        <xdr:cNvPr id="2" name="Line 10"/>
        <xdr:cNvSpPr>
          <a:spLocks/>
        </xdr:cNvSpPr>
      </xdr:nvSpPr>
      <xdr:spPr>
        <a:xfrm>
          <a:off x="8877300" y="9877425"/>
          <a:ext cx="423862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49</xdr:row>
      <xdr:rowOff>361950</xdr:rowOff>
    </xdr:from>
    <xdr:to>
      <xdr:col>20</xdr:col>
      <xdr:colOff>504825</xdr:colOff>
      <xdr:row>49</xdr:row>
      <xdr:rowOff>361950</xdr:rowOff>
    </xdr:to>
    <xdr:sp>
      <xdr:nvSpPr>
        <xdr:cNvPr id="3" name="Line 11"/>
        <xdr:cNvSpPr>
          <a:spLocks/>
        </xdr:cNvSpPr>
      </xdr:nvSpPr>
      <xdr:spPr>
        <a:xfrm>
          <a:off x="8915400" y="14297025"/>
          <a:ext cx="414337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49</xdr:row>
      <xdr:rowOff>333375</xdr:rowOff>
    </xdr:from>
    <xdr:to>
      <xdr:col>8</xdr:col>
      <xdr:colOff>47625</xdr:colOff>
      <xdr:row>49</xdr:row>
      <xdr:rowOff>333375</xdr:rowOff>
    </xdr:to>
    <xdr:sp>
      <xdr:nvSpPr>
        <xdr:cNvPr id="4" name="Line 13"/>
        <xdr:cNvSpPr>
          <a:spLocks/>
        </xdr:cNvSpPr>
      </xdr:nvSpPr>
      <xdr:spPr>
        <a:xfrm flipH="1">
          <a:off x="885825" y="14268450"/>
          <a:ext cx="410527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63</xdr:row>
      <xdr:rowOff>342900</xdr:rowOff>
    </xdr:from>
    <xdr:to>
      <xdr:col>9</xdr:col>
      <xdr:colOff>190500</xdr:colOff>
      <xdr:row>63</xdr:row>
      <xdr:rowOff>342900</xdr:rowOff>
    </xdr:to>
    <xdr:sp>
      <xdr:nvSpPr>
        <xdr:cNvPr id="5" name="Line 14"/>
        <xdr:cNvSpPr>
          <a:spLocks/>
        </xdr:cNvSpPr>
      </xdr:nvSpPr>
      <xdr:spPr>
        <a:xfrm flipH="1">
          <a:off x="742950" y="18526125"/>
          <a:ext cx="5010150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63</xdr:row>
      <xdr:rowOff>323850</xdr:rowOff>
    </xdr:from>
    <xdr:to>
      <xdr:col>21</xdr:col>
      <xdr:colOff>66675</xdr:colOff>
      <xdr:row>63</xdr:row>
      <xdr:rowOff>333375</xdr:rowOff>
    </xdr:to>
    <xdr:sp>
      <xdr:nvSpPr>
        <xdr:cNvPr id="6" name="Line 15"/>
        <xdr:cNvSpPr>
          <a:spLocks/>
        </xdr:cNvSpPr>
      </xdr:nvSpPr>
      <xdr:spPr>
        <a:xfrm>
          <a:off x="8277225" y="18507075"/>
          <a:ext cx="4962525" cy="9525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0</xdr:row>
      <xdr:rowOff>123825</xdr:rowOff>
    </xdr:from>
    <xdr:to>
      <xdr:col>21</xdr:col>
      <xdr:colOff>38100</xdr:colOff>
      <xdr:row>2</xdr:row>
      <xdr:rowOff>238125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rcRect t="5639" b="6829"/>
        <a:stretch>
          <a:fillRect/>
        </a:stretch>
      </xdr:blipFill>
      <xdr:spPr>
        <a:xfrm>
          <a:off x="11953875" y="123825"/>
          <a:ext cx="1257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123825</xdr:rowOff>
    </xdr:from>
    <xdr:to>
      <xdr:col>3</xdr:col>
      <xdr:colOff>276225</xdr:colOff>
      <xdr:row>2</xdr:row>
      <xdr:rowOff>209550</xdr:rowOff>
    </xdr:to>
    <xdr:pic>
      <xdr:nvPicPr>
        <xdr:cNvPr id="8" name="Image 11"/>
        <xdr:cNvPicPr preferRelativeResize="1">
          <a:picLocks noChangeAspect="1"/>
        </xdr:cNvPicPr>
      </xdr:nvPicPr>
      <xdr:blipFill>
        <a:blip r:embed="rId2"/>
        <a:srcRect l="8357" t="6596" r="7666" b="7006"/>
        <a:stretch>
          <a:fillRect/>
        </a:stretch>
      </xdr:blipFill>
      <xdr:spPr>
        <a:xfrm>
          <a:off x="704850" y="123825"/>
          <a:ext cx="1628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1190625</xdr:colOff>
      <xdr:row>2</xdr:row>
      <xdr:rowOff>438150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9240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0</xdr:row>
      <xdr:rowOff>0</xdr:rowOff>
    </xdr:from>
    <xdr:to>
      <xdr:col>8</xdr:col>
      <xdr:colOff>95250</xdr:colOff>
      <xdr:row>2</xdr:row>
      <xdr:rowOff>457200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0"/>
          <a:ext cx="9334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quentel@fftir.or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showGridLines="0" workbookViewId="0" topLeftCell="A1">
      <selection activeCell="B9" sqref="B9"/>
    </sheetView>
  </sheetViews>
  <sheetFormatPr defaultColWidth="12.57421875" defaultRowHeight="15" customHeight="1"/>
  <cols>
    <col min="1" max="1" width="20.28125" style="1" customWidth="1"/>
    <col min="2" max="2" width="34.00390625" style="1" customWidth="1"/>
    <col min="3" max="3" width="35.28125" style="1" customWidth="1"/>
    <col min="4" max="4" width="3.140625" style="1" customWidth="1"/>
    <col min="5" max="16384" width="12.28125" style="1" customWidth="1"/>
  </cols>
  <sheetData>
    <row r="1" spans="1:3" ht="96.75" customHeight="1">
      <c r="A1" s="2" t="s">
        <v>0</v>
      </c>
      <c r="B1" s="2"/>
      <c r="C1" s="2"/>
    </row>
    <row r="2" spans="1:3" ht="24.75" customHeight="1">
      <c r="A2" s="3"/>
      <c r="B2" s="3"/>
      <c r="C2" s="3"/>
    </row>
    <row r="3" spans="1:3" ht="24.75" customHeight="1">
      <c r="A3" s="4" t="s">
        <v>1</v>
      </c>
      <c r="B3" s="4"/>
      <c r="C3" s="4"/>
    </row>
    <row r="4" spans="1:3" ht="24.75" customHeight="1">
      <c r="A4" s="5" t="s">
        <v>2</v>
      </c>
      <c r="B4" s="6">
        <v>41623</v>
      </c>
      <c r="C4" s="7"/>
    </row>
    <row r="5" spans="1:3" ht="24.75" customHeight="1">
      <c r="A5" s="5" t="s">
        <v>3</v>
      </c>
      <c r="B5" s="8" t="s">
        <v>4</v>
      </c>
      <c r="C5" s="7"/>
    </row>
    <row r="6" spans="1:3" ht="24.75" customHeight="1">
      <c r="A6" s="5" t="s">
        <v>5</v>
      </c>
      <c r="B6" s="9" t="s">
        <v>6</v>
      </c>
      <c r="C6" s="7"/>
    </row>
    <row r="7" spans="1:3" ht="24.75" customHeight="1">
      <c r="A7" s="5" t="s">
        <v>7</v>
      </c>
      <c r="B7" s="8" t="s">
        <v>8</v>
      </c>
      <c r="C7" s="7" t="s">
        <v>9</v>
      </c>
    </row>
    <row r="8" spans="1:3" ht="24.75" customHeight="1">
      <c r="A8" s="5" t="s">
        <v>10</v>
      </c>
      <c r="B8" s="10">
        <v>1</v>
      </c>
      <c r="C8" s="7"/>
    </row>
    <row r="9" spans="1:3" ht="24.75" customHeight="1">
      <c r="A9" s="11" t="s">
        <v>11</v>
      </c>
      <c r="B9" s="12" t="s">
        <v>12</v>
      </c>
      <c r="C9" s="7" t="s">
        <v>13</v>
      </c>
    </row>
    <row r="10" spans="1:3" ht="24.75" customHeight="1">
      <c r="A10" s="13"/>
      <c r="B10" s="13"/>
      <c r="C10" s="14"/>
    </row>
    <row r="11" spans="1:3" ht="24.75" customHeight="1">
      <c r="A11" s="4" t="s">
        <v>14</v>
      </c>
      <c r="B11" s="4"/>
      <c r="C11" s="4"/>
    </row>
    <row r="12" spans="1:3" ht="30" customHeight="1">
      <c r="A12" s="5" t="s">
        <v>15</v>
      </c>
      <c r="B12" s="15" t="s">
        <v>16</v>
      </c>
      <c r="C12" s="16"/>
    </row>
    <row r="13" spans="1:3" ht="30" customHeight="1">
      <c r="A13" s="11" t="s">
        <v>17</v>
      </c>
      <c r="B13" s="17"/>
      <c r="C13" s="7"/>
    </row>
    <row r="14" spans="1:3" ht="30" customHeight="1">
      <c r="A14" s="11" t="s">
        <v>18</v>
      </c>
      <c r="B14" s="18"/>
      <c r="C14" s="19"/>
    </row>
    <row r="15" ht="12.75" customHeight="1"/>
    <row r="16" spans="1:3" ht="91.5" customHeight="1">
      <c r="A16" s="20" t="s">
        <v>19</v>
      </c>
      <c r="B16" s="20"/>
      <c r="C16" s="20"/>
    </row>
    <row r="17" spans="1:3" ht="15" customHeight="1">
      <c r="A17" s="21" t="s">
        <v>20</v>
      </c>
      <c r="B17" s="21"/>
      <c r="C17" s="22"/>
    </row>
    <row r="18" spans="1:3" ht="15" customHeight="1">
      <c r="A18" s="23" t="s">
        <v>21</v>
      </c>
      <c r="B18" s="23"/>
      <c r="C18" s="24"/>
    </row>
    <row r="19" spans="1:3" ht="15" customHeight="1">
      <c r="A19" s="25" t="s">
        <v>22</v>
      </c>
      <c r="B19" s="25"/>
      <c r="C19" s="26"/>
    </row>
  </sheetData>
  <sheetProtection sheet="1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A18" r:id="rId1" display="pquentel@fftir.org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showGridLines="0" tabSelected="1" zoomScale="30" zoomScaleNormal="30" zoomScaleSheetLayoutView="4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I7" sqref="AI7"/>
    </sheetView>
  </sheetViews>
  <sheetFormatPr defaultColWidth="12.57421875" defaultRowHeight="12.75" outlineLevelCol="1"/>
  <cols>
    <col min="1" max="1" width="20.421875" style="27" customWidth="1"/>
    <col min="2" max="2" width="20.421875" style="28" customWidth="1" outlineLevel="1"/>
    <col min="3" max="3" width="66.421875" style="29" customWidth="1"/>
    <col min="4" max="4" width="25.57421875" style="29" customWidth="1"/>
    <col min="5" max="5" width="61.28125" style="29" customWidth="1"/>
    <col min="6" max="8" width="12.7109375" style="30" customWidth="1"/>
    <col min="9" max="9" width="20.421875" style="30" customWidth="1"/>
    <col min="10" max="10" width="0" style="30" hidden="1" customWidth="1"/>
    <col min="11" max="11" width="66.421875" style="29" customWidth="1"/>
    <col min="12" max="12" width="12.7109375" style="31" customWidth="1"/>
    <col min="13" max="14" width="12.7109375" style="30" customWidth="1"/>
    <col min="15" max="15" width="20.421875" style="30" customWidth="1"/>
    <col min="16" max="16" width="0" style="30" hidden="1" customWidth="1"/>
    <col min="17" max="17" width="66.421875" style="29" customWidth="1"/>
    <col min="18" max="19" width="12.7109375" style="30" customWidth="1"/>
    <col min="20" max="20" width="12.7109375" style="31" customWidth="1"/>
    <col min="21" max="21" width="20.421875" style="30" customWidth="1"/>
    <col min="22" max="22" width="0" style="30" hidden="1" customWidth="1"/>
    <col min="23" max="23" width="66.421875" style="29" customWidth="1"/>
    <col min="24" max="26" width="12.7109375" style="30" customWidth="1"/>
    <col min="27" max="27" width="20.421875" style="30" customWidth="1"/>
    <col min="28" max="28" width="0" style="30" hidden="1" customWidth="1"/>
    <col min="29" max="29" width="66.421875" style="32" customWidth="1"/>
    <col min="30" max="32" width="12.7109375" style="30" customWidth="1"/>
    <col min="33" max="33" width="20.421875" style="30" customWidth="1"/>
    <col min="34" max="34" width="0" style="30" hidden="1" customWidth="1"/>
    <col min="35" max="35" width="26.421875" style="30" customWidth="1"/>
    <col min="36" max="36" width="0.71875" style="33" customWidth="1"/>
    <col min="37" max="37" width="10.57421875" style="34" customWidth="1"/>
    <col min="38" max="38" width="0" style="30" hidden="1" customWidth="1" outlineLevel="1"/>
    <col min="39" max="45" width="16.8515625" style="34" customWidth="1"/>
    <col min="46" max="16384" width="12.28125" style="34" customWidth="1"/>
  </cols>
  <sheetData>
    <row r="1" spans="1:29" ht="43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93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6" ht="82.5" customHeight="1">
      <c r="A3" s="36" t="str">
        <f>CONCATENATE("MATCH DE QUALIFICATION"," - ",INFO!B7," - ",INFO!B9)</f>
        <v>MATCH DE QUALIFICATION - Pistolet - CHAMPAGNE (Ardennes)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82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8" s="54" customFormat="1" ht="63.75" customHeight="1">
      <c r="A5" s="37" t="s">
        <v>23</v>
      </c>
      <c r="B5" s="38" t="s">
        <v>24</v>
      </c>
      <c r="C5" s="39" t="s">
        <v>25</v>
      </c>
      <c r="D5" s="40" t="s">
        <v>26</v>
      </c>
      <c r="E5" s="41" t="s">
        <v>27</v>
      </c>
      <c r="F5" s="42" t="s">
        <v>28</v>
      </c>
      <c r="G5" s="42"/>
      <c r="H5" s="42"/>
      <c r="I5" s="43" t="s">
        <v>29</v>
      </c>
      <c r="J5" s="44" t="s">
        <v>30</v>
      </c>
      <c r="K5" s="45" t="s">
        <v>27</v>
      </c>
      <c r="L5" s="46" t="s">
        <v>28</v>
      </c>
      <c r="M5" s="46"/>
      <c r="N5" s="46"/>
      <c r="O5" s="47" t="s">
        <v>29</v>
      </c>
      <c r="P5" s="40" t="s">
        <v>30</v>
      </c>
      <c r="Q5" s="45" t="s">
        <v>27</v>
      </c>
      <c r="R5" s="46" t="s">
        <v>28</v>
      </c>
      <c r="S5" s="46"/>
      <c r="T5" s="46"/>
      <c r="U5" s="47" t="s">
        <v>29</v>
      </c>
      <c r="V5" s="48" t="s">
        <v>30</v>
      </c>
      <c r="W5" s="45" t="s">
        <v>27</v>
      </c>
      <c r="X5" s="46" t="s">
        <v>28</v>
      </c>
      <c r="Y5" s="46"/>
      <c r="Z5" s="46"/>
      <c r="AA5" s="47" t="s">
        <v>29</v>
      </c>
      <c r="AB5" s="49" t="s">
        <v>30</v>
      </c>
      <c r="AC5" s="45" t="s">
        <v>27</v>
      </c>
      <c r="AD5" s="46" t="s">
        <v>28</v>
      </c>
      <c r="AE5" s="46"/>
      <c r="AF5" s="46"/>
      <c r="AG5" s="47" t="s">
        <v>29</v>
      </c>
      <c r="AH5" s="49" t="s">
        <v>30</v>
      </c>
      <c r="AI5" s="50" t="s">
        <v>31</v>
      </c>
      <c r="AJ5" s="51" t="s">
        <v>32</v>
      </c>
      <c r="AK5" s="52"/>
      <c r="AL5" s="53" t="s">
        <v>33</v>
      </c>
    </row>
    <row r="6" spans="1:38" s="54" customFormat="1" ht="72" customHeight="1">
      <c r="A6" s="37"/>
      <c r="B6" s="38"/>
      <c r="C6" s="39"/>
      <c r="D6" s="40"/>
      <c r="E6" s="55" t="s">
        <v>34</v>
      </c>
      <c r="F6" s="56">
        <v>1</v>
      </c>
      <c r="G6" s="56">
        <v>2</v>
      </c>
      <c r="H6" s="56">
        <v>3</v>
      </c>
      <c r="I6" s="43"/>
      <c r="J6" s="44"/>
      <c r="K6" s="57" t="s">
        <v>35</v>
      </c>
      <c r="L6" s="58">
        <v>1</v>
      </c>
      <c r="M6" s="58">
        <v>2</v>
      </c>
      <c r="N6" s="58">
        <v>3</v>
      </c>
      <c r="O6" s="47"/>
      <c r="P6" s="40"/>
      <c r="Q6" s="57" t="s">
        <v>36</v>
      </c>
      <c r="R6" s="58">
        <v>1</v>
      </c>
      <c r="S6" s="58">
        <v>2</v>
      </c>
      <c r="T6" s="58">
        <v>3</v>
      </c>
      <c r="U6" s="47"/>
      <c r="V6" s="48"/>
      <c r="W6" s="57" t="s">
        <v>37</v>
      </c>
      <c r="X6" s="58">
        <v>1</v>
      </c>
      <c r="Y6" s="58">
        <v>2</v>
      </c>
      <c r="Z6" s="58">
        <v>3</v>
      </c>
      <c r="AA6" s="47"/>
      <c r="AB6" s="49"/>
      <c r="AC6" s="57" t="s">
        <v>38</v>
      </c>
      <c r="AD6" s="58">
        <v>1</v>
      </c>
      <c r="AE6" s="58">
        <v>2</v>
      </c>
      <c r="AF6" s="58">
        <v>3</v>
      </c>
      <c r="AG6" s="47"/>
      <c r="AH6" s="49"/>
      <c r="AI6" s="50"/>
      <c r="AJ6" s="51"/>
      <c r="AL6" s="53"/>
    </row>
    <row r="7" spans="1:38" s="72" customFormat="1" ht="120" customHeight="1">
      <c r="A7" s="59">
        <v>1</v>
      </c>
      <c r="B7" s="60">
        <f>RANK(AL7,$AL$7:$AL$8,0)</f>
        <v>1</v>
      </c>
      <c r="C7" s="61" t="s">
        <v>39</v>
      </c>
      <c r="D7" s="62">
        <v>808281</v>
      </c>
      <c r="E7" s="63" t="s">
        <v>40</v>
      </c>
      <c r="F7" s="64">
        <v>90</v>
      </c>
      <c r="G7" s="64">
        <v>90</v>
      </c>
      <c r="H7" s="64">
        <v>86</v>
      </c>
      <c r="I7" s="65">
        <v>266</v>
      </c>
      <c r="J7" s="66"/>
      <c r="K7" s="67" t="s">
        <v>41</v>
      </c>
      <c r="L7" s="64">
        <v>88</v>
      </c>
      <c r="M7" s="64">
        <v>90</v>
      </c>
      <c r="N7" s="64">
        <v>90</v>
      </c>
      <c r="O7" s="68">
        <v>268</v>
      </c>
      <c r="P7" s="69"/>
      <c r="Q7" s="63" t="s">
        <v>42</v>
      </c>
      <c r="R7" s="64">
        <v>86</v>
      </c>
      <c r="S7" s="64">
        <v>90</v>
      </c>
      <c r="T7" s="64">
        <v>92</v>
      </c>
      <c r="U7" s="68">
        <v>268</v>
      </c>
      <c r="V7" s="69"/>
      <c r="W7" s="67" t="s">
        <v>43</v>
      </c>
      <c r="X7" s="64">
        <v>87</v>
      </c>
      <c r="Y7" s="64">
        <v>81</v>
      </c>
      <c r="Z7" s="64">
        <v>86</v>
      </c>
      <c r="AA7" s="68">
        <v>254</v>
      </c>
      <c r="AB7" s="69"/>
      <c r="AC7" s="63" t="s">
        <v>44</v>
      </c>
      <c r="AD7" s="64">
        <v>80</v>
      </c>
      <c r="AE7" s="64">
        <v>92</v>
      </c>
      <c r="AF7" s="64">
        <v>91</v>
      </c>
      <c r="AG7" s="68">
        <v>263</v>
      </c>
      <c r="AH7" s="69"/>
      <c r="AI7" s="70">
        <v>1319</v>
      </c>
      <c r="AJ7" s="71">
        <f>J7+P7+V7+AB7+AH7</f>
        <v>0</v>
      </c>
      <c r="AL7" s="73">
        <f>I7+O7+U7+AA7+AG7+(0.000001*(J7+P7+V7+AB7+AH7))+(0.000000001*(H7+N7+T7+Z7+AF7))+(0.000000000001*(G7+M7+S7+Y7+AE7))</f>
        <v>1319.000000445443</v>
      </c>
    </row>
    <row r="8" spans="1:38" s="72" customFormat="1" ht="120" customHeight="1">
      <c r="A8" s="74">
        <v>2</v>
      </c>
      <c r="B8" s="75"/>
      <c r="C8" s="76"/>
      <c r="D8" s="77"/>
      <c r="E8" s="78"/>
      <c r="F8" s="79"/>
      <c r="G8" s="79"/>
      <c r="H8" s="79"/>
      <c r="I8" s="80"/>
      <c r="J8" s="81"/>
      <c r="K8" s="82"/>
      <c r="L8" s="79"/>
      <c r="M8" s="79"/>
      <c r="N8" s="79"/>
      <c r="O8" s="83"/>
      <c r="P8" s="84"/>
      <c r="Q8" s="82"/>
      <c r="R8" s="79"/>
      <c r="S8" s="79"/>
      <c r="T8" s="79"/>
      <c r="U8" s="83"/>
      <c r="V8" s="84"/>
      <c r="W8" s="82"/>
      <c r="X8" s="79"/>
      <c r="Y8" s="79"/>
      <c r="Z8" s="79"/>
      <c r="AA8" s="83"/>
      <c r="AB8" s="84"/>
      <c r="AC8" s="82"/>
      <c r="AD8" s="79"/>
      <c r="AE8" s="79"/>
      <c r="AF8" s="79"/>
      <c r="AG8" s="83"/>
      <c r="AH8" s="84"/>
      <c r="AI8" s="85"/>
      <c r="AJ8" s="86">
        <f>J8+P8+V8+AB8+AH8</f>
        <v>0</v>
      </c>
      <c r="AL8" s="73">
        <f>I8+O8+U8+AA8+AG8+(0.000001*(J8+P8+V8+AB8+AH8))+(0.000000001*(H8+N8+T8+Z8+AF8))+(0.000000000001*(G8+M8+S8+Y8+AE8))</f>
        <v>0</v>
      </c>
    </row>
  </sheetData>
  <sheetProtection selectLockedCells="1" selectUnlockedCells="1"/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conditionalFormatting sqref="E7:H7 L7:N7 R7:T7 X7:Z7 AC7:AF7">
    <cfRule type="cellIs" priority="1" dxfId="0" operator="between" stopIfTrue="1">
      <formula>100</formula>
      <formula>100</formula>
    </cfRule>
  </conditionalFormatting>
  <conditionalFormatting sqref="F8:H8 K8:N8 Q8:T8 X8:Z8 AC8:AF8">
    <cfRule type="cellIs" priority="2" dxfId="0" operator="between" stopIfTrue="1">
      <formula>100</formula>
      <formula>100</formula>
    </cfRule>
  </conditionalFormatting>
  <conditionalFormatting sqref="K7">
    <cfRule type="cellIs" priority="3" dxfId="0" operator="between" stopIfTrue="1">
      <formula>100</formula>
      <formula>100</formula>
    </cfRule>
  </conditionalFormatting>
  <conditionalFormatting sqref="Q7">
    <cfRule type="cellIs" priority="4" dxfId="0" operator="between" stopIfTrue="1">
      <formula>100</formula>
      <formula>100</formula>
    </cfRule>
  </conditionalFormatting>
  <conditionalFormatting sqref="W7">
    <cfRule type="cellIs" priority="5" dxfId="0" operator="between" stopIfTrue="1">
      <formula>100</formula>
      <formula>100</formula>
    </cfRule>
  </conditionalFormatting>
  <conditionalFormatting sqref="W8">
    <cfRule type="cellIs" priority="6" dxfId="0" operator="between" stopIfTrue="1">
      <formula>100</formula>
      <formula>100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"/>
  <sheetViews>
    <sheetView showGridLines="0" zoomScale="25" zoomScaleNormal="25" zoomScaleSheetLayoutView="40" workbookViewId="0" topLeftCell="G1">
      <pane ySplit="6" topLeftCell="A7" activePane="bottomLeft" state="frozen"/>
      <selection pane="topLeft" activeCell="G1" sqref="G1"/>
      <selection pane="bottomLeft" activeCell="AH8" sqref="AH8"/>
    </sheetView>
  </sheetViews>
  <sheetFormatPr defaultColWidth="12.57421875" defaultRowHeight="12.75"/>
  <cols>
    <col min="1" max="1" width="17.7109375" style="87" customWidth="1"/>
    <col min="2" max="2" width="61.28125" style="88" customWidth="1"/>
    <col min="3" max="3" width="27.140625" style="88" customWidth="1"/>
    <col min="4" max="4" width="58.28125" style="88" customWidth="1"/>
    <col min="5" max="7" width="16.8515625" style="88" customWidth="1"/>
    <col min="8" max="8" width="17.140625" style="89" customWidth="1"/>
    <col min="9" max="9" width="0" style="90" hidden="1" customWidth="1"/>
    <col min="10" max="10" width="66.421875" style="88" customWidth="1"/>
    <col min="11" max="13" width="16.8515625" style="88" customWidth="1"/>
    <col min="14" max="14" width="19.28125" style="89" customWidth="1"/>
    <col min="15" max="15" width="0" style="90" hidden="1" customWidth="1"/>
    <col min="16" max="16" width="66.421875" style="88" customWidth="1"/>
    <col min="17" max="19" width="16.8515625" style="88" customWidth="1"/>
    <col min="20" max="20" width="18.8515625" style="89" customWidth="1"/>
    <col min="21" max="21" width="0" style="90" hidden="1" customWidth="1"/>
    <col min="22" max="22" width="66.421875" style="88" customWidth="1"/>
    <col min="23" max="25" width="16.8515625" style="88" customWidth="1"/>
    <col min="26" max="26" width="19.28125" style="89" customWidth="1"/>
    <col min="27" max="27" width="0" style="90" hidden="1" customWidth="1"/>
    <col min="28" max="28" width="66.421875" style="91" customWidth="1"/>
    <col min="29" max="31" width="16.8515625" style="91" customWidth="1"/>
    <col min="32" max="32" width="19.00390625" style="89" customWidth="1"/>
    <col min="33" max="33" width="0" style="90" hidden="1" customWidth="1"/>
    <col min="34" max="34" width="26.421875" style="89" customWidth="1"/>
    <col min="35" max="35" width="0" style="92" hidden="1" customWidth="1"/>
    <col min="36" max="36" width="27.00390625" style="93" customWidth="1"/>
    <col min="37" max="41" width="17.28125" style="94" customWidth="1"/>
    <col min="42" max="42" width="17.28125" style="95" customWidth="1"/>
    <col min="43" max="91" width="17.28125" style="94" customWidth="1"/>
    <col min="92" max="16384" width="12.28125" style="94" customWidth="1"/>
  </cols>
  <sheetData>
    <row r="1" spans="1:35" ht="93.75" customHeight="1">
      <c r="A1" s="96"/>
      <c r="B1" s="97"/>
      <c r="C1" s="97"/>
      <c r="D1" s="97"/>
      <c r="E1" s="97"/>
      <c r="F1" s="97"/>
      <c r="G1" s="97"/>
      <c r="H1" s="98"/>
      <c r="I1" s="99"/>
      <c r="J1" s="97"/>
      <c r="K1" s="97"/>
      <c r="L1" s="97"/>
      <c r="M1" s="97"/>
      <c r="N1" s="98"/>
      <c r="O1" s="99"/>
      <c r="P1" s="97"/>
      <c r="Q1" s="97"/>
      <c r="R1" s="97"/>
      <c r="S1" s="97"/>
      <c r="T1" s="98"/>
      <c r="U1" s="99"/>
      <c r="V1" s="97"/>
      <c r="W1" s="97"/>
      <c r="X1" s="97"/>
      <c r="Y1" s="97"/>
      <c r="Z1" s="98"/>
      <c r="AA1" s="99"/>
      <c r="AB1" s="100"/>
      <c r="AC1" s="100"/>
      <c r="AD1" s="100"/>
      <c r="AE1" s="100"/>
      <c r="AF1" s="98"/>
      <c r="AG1" s="99"/>
      <c r="AH1" s="98"/>
      <c r="AI1" s="101"/>
    </row>
    <row r="2" spans="1:35" ht="93.75" customHeight="1">
      <c r="A2" s="96"/>
      <c r="B2" s="97"/>
      <c r="C2" s="97"/>
      <c r="D2" s="97"/>
      <c r="E2" s="97"/>
      <c r="F2" s="97"/>
      <c r="G2" s="97"/>
      <c r="H2" s="98"/>
      <c r="I2" s="99"/>
      <c r="J2" s="97"/>
      <c r="K2" s="97"/>
      <c r="L2" s="97"/>
      <c r="M2" s="97"/>
      <c r="N2" s="98"/>
      <c r="O2" s="99"/>
      <c r="P2" s="97"/>
      <c r="Q2" s="97"/>
      <c r="R2" s="97"/>
      <c r="S2" s="97"/>
      <c r="T2" s="98"/>
      <c r="U2" s="99"/>
      <c r="V2" s="97"/>
      <c r="W2" s="97"/>
      <c r="X2" s="97"/>
      <c r="Y2" s="97"/>
      <c r="Z2" s="98"/>
      <c r="AA2" s="99"/>
      <c r="AB2" s="100"/>
      <c r="AC2" s="100"/>
      <c r="AD2" s="100"/>
      <c r="AE2" s="100"/>
      <c r="AF2" s="98"/>
      <c r="AG2" s="99"/>
      <c r="AH2" s="98"/>
      <c r="AI2" s="101"/>
    </row>
    <row r="3" spans="1:35" ht="123.75" customHeight="1">
      <c r="A3" s="102" t="str">
        <f>CONCATENATE("MATCH DE QUALIFICATION"," - ",INFO!B7," - ",INFO!B9)</f>
        <v>MATCH DE QUALIFICATION - Pistolet - CHAMPAGNE (Ardennes)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36" ht="84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</row>
    <row r="5" spans="1:37" s="94" customFormat="1" ht="30" customHeight="1">
      <c r="A5" s="104" t="s">
        <v>24</v>
      </c>
      <c r="B5" s="105" t="s">
        <v>25</v>
      </c>
      <c r="C5" s="106" t="s">
        <v>26</v>
      </c>
      <c r="D5" s="107" t="s">
        <v>34</v>
      </c>
      <c r="E5" s="108" t="s">
        <v>45</v>
      </c>
      <c r="F5" s="108"/>
      <c r="G5" s="108"/>
      <c r="H5" s="109" t="s">
        <v>29</v>
      </c>
      <c r="I5" s="110" t="s">
        <v>30</v>
      </c>
      <c r="J5" s="107" t="s">
        <v>35</v>
      </c>
      <c r="K5" s="108" t="s">
        <v>45</v>
      </c>
      <c r="L5" s="108"/>
      <c r="M5" s="108"/>
      <c r="N5" s="109" t="s">
        <v>29</v>
      </c>
      <c r="O5" s="110" t="s">
        <v>30</v>
      </c>
      <c r="P5" s="107" t="s">
        <v>36</v>
      </c>
      <c r="Q5" s="108" t="s">
        <v>45</v>
      </c>
      <c r="R5" s="108"/>
      <c r="S5" s="108"/>
      <c r="T5" s="109" t="s">
        <v>29</v>
      </c>
      <c r="U5" s="111" t="s">
        <v>30</v>
      </c>
      <c r="V5" s="107" t="s">
        <v>37</v>
      </c>
      <c r="W5" s="108" t="s">
        <v>45</v>
      </c>
      <c r="X5" s="108"/>
      <c r="Y5" s="108"/>
      <c r="Z5" s="109" t="s">
        <v>29</v>
      </c>
      <c r="AA5" s="111" t="s">
        <v>30</v>
      </c>
      <c r="AB5" s="107" t="s">
        <v>38</v>
      </c>
      <c r="AC5" s="108" t="s">
        <v>45</v>
      </c>
      <c r="AD5" s="108"/>
      <c r="AE5" s="108"/>
      <c r="AF5" s="109" t="s">
        <v>29</v>
      </c>
      <c r="AG5" s="111" t="s">
        <v>30</v>
      </c>
      <c r="AH5" s="112" t="s">
        <v>33</v>
      </c>
      <c r="AI5" s="113" t="s">
        <v>46</v>
      </c>
      <c r="AJ5" s="114"/>
      <c r="AK5" s="115"/>
    </row>
    <row r="6" spans="1:36" s="94" customFormat="1" ht="84.75" customHeight="1">
      <c r="A6" s="104"/>
      <c r="B6" s="105"/>
      <c r="C6" s="106"/>
      <c r="D6" s="107"/>
      <c r="E6" s="108"/>
      <c r="F6" s="108"/>
      <c r="G6" s="108"/>
      <c r="H6" s="109"/>
      <c r="I6" s="110"/>
      <c r="J6" s="107"/>
      <c r="K6" s="108"/>
      <c r="L6" s="108"/>
      <c r="M6" s="108"/>
      <c r="N6" s="109"/>
      <c r="O6" s="110"/>
      <c r="P6" s="107"/>
      <c r="Q6" s="108"/>
      <c r="R6" s="108"/>
      <c r="S6" s="108"/>
      <c r="T6" s="109"/>
      <c r="U6" s="111"/>
      <c r="V6" s="107"/>
      <c r="W6" s="108"/>
      <c r="X6" s="108"/>
      <c r="Y6" s="108"/>
      <c r="Z6" s="109"/>
      <c r="AA6" s="111"/>
      <c r="AB6" s="107"/>
      <c r="AC6" s="108"/>
      <c r="AD6" s="108"/>
      <c r="AE6" s="108"/>
      <c r="AF6" s="109"/>
      <c r="AG6" s="111"/>
      <c r="AH6" s="112"/>
      <c r="AI6" s="113"/>
      <c r="AJ6" s="114"/>
    </row>
    <row r="7" spans="1:36" s="132" customFormat="1" ht="153" customHeight="1">
      <c r="A7" s="116">
        <v>1</v>
      </c>
      <c r="B7" s="117" t="str">
        <f>VLOOKUP(A7,saisie!B$7:AL$8,2,0)</f>
        <v>USST CHARLEVILLE</v>
      </c>
      <c r="C7" s="118">
        <f>VLOOKUP(A7,saisie!B$7:AL$8,3,0)</f>
        <v>808281</v>
      </c>
      <c r="D7" s="119" t="str">
        <f>VLOOKUP(A7,saisie!B$7:AL$8,4,0)</f>
        <v>PROFICET Fabrice</v>
      </c>
      <c r="E7" s="120">
        <f>VLOOKUP(A7,saisie!B$7:AL$8,5,0)</f>
        <v>90</v>
      </c>
      <c r="F7" s="121">
        <f>VLOOKUP(A7,saisie!B$7:AL$8,6,0)</f>
        <v>90</v>
      </c>
      <c r="G7" s="121">
        <f>VLOOKUP(A7,saisie!B$7:AL$8,7,0)</f>
        <v>86</v>
      </c>
      <c r="H7" s="122">
        <f>VLOOKUP(A7,saisie!B$7:AL$8,8,0)</f>
        <v>266</v>
      </c>
      <c r="I7" s="123">
        <f>VLOOKUP(A7,saisie!B$7:AL$8,9,0)</f>
        <v>0</v>
      </c>
      <c r="J7" s="124" t="str">
        <f>VLOOKUP(A7,saisie!B$7:AL$8,10,0)</f>
        <v>PROFICET Hervé</v>
      </c>
      <c r="K7" s="121">
        <f>VLOOKUP(A7,saisie!B$7:AL$8,11,0)</f>
        <v>88</v>
      </c>
      <c r="L7" s="121">
        <f>VLOOKUP(A7,saisie!B$7:AL$8,12,0)</f>
        <v>90</v>
      </c>
      <c r="M7" s="121">
        <f>VLOOKUP(A7,saisie!B$7:AL$8,13,0)</f>
        <v>90</v>
      </c>
      <c r="N7" s="125">
        <f>VLOOKUP(A7,saisie!B$7:AL$8,14,0)</f>
        <v>268</v>
      </c>
      <c r="O7" s="126">
        <f>VLOOKUP(A7,saisie!B$7:AL$8,15,0)</f>
        <v>0</v>
      </c>
      <c r="P7" s="127" t="str">
        <f>VLOOKUP(A7,saisie!B$7:AL$8,16,0)</f>
        <v>CLAISSE Didier</v>
      </c>
      <c r="Q7" s="121">
        <f>VLOOKUP(A7,saisie!B$7:AL$8,17,0)</f>
        <v>86</v>
      </c>
      <c r="R7" s="121">
        <f>VLOOKUP(A7,saisie!B$7:AL$8,18,0)</f>
        <v>90</v>
      </c>
      <c r="S7" s="121">
        <f>VLOOKUP(A7,saisie!B$7:AL$8,19,0)</f>
        <v>92</v>
      </c>
      <c r="T7" s="125">
        <f>VLOOKUP(A7,saisie!B$7:AL$8,20,0)</f>
        <v>268</v>
      </c>
      <c r="U7" s="126">
        <f>VLOOKUP(A7,saisie!B$7:AL$8,21,0)</f>
        <v>0</v>
      </c>
      <c r="V7" s="128" t="str">
        <f>VLOOKUP(A7,saisie!B$7:AL$8,22,0)</f>
        <v>FRERE Fabien</v>
      </c>
      <c r="W7" s="121">
        <f>VLOOKUP(A7,saisie!B$7:AL$8,23,0)</f>
        <v>87</v>
      </c>
      <c r="X7" s="121">
        <f>VLOOKUP(A7,saisie!B$7:AL$8,24,0)</f>
        <v>81</v>
      </c>
      <c r="Y7" s="121">
        <f>VLOOKUP(A7,saisie!B$7:AL$8,25,0)</f>
        <v>86</v>
      </c>
      <c r="Z7" s="125">
        <f>VLOOKUP(A7,saisie!B$7:AL$8,26,0)</f>
        <v>254</v>
      </c>
      <c r="AA7" s="126">
        <f>VLOOKUP(A7,saisie!B$7:AL$8,27,0)</f>
        <v>0</v>
      </c>
      <c r="AB7" s="128" t="str">
        <f>VLOOKUP(A7,saisie!B$7:AL$8,28,0)</f>
        <v>PROFICET Pauline</v>
      </c>
      <c r="AC7" s="121">
        <f>VLOOKUP(A7,saisie!B$7:AL$8,29,0)</f>
        <v>80</v>
      </c>
      <c r="AD7" s="121">
        <f>VLOOKUP(A7,saisie!B$7:AL$8,30,0)</f>
        <v>92</v>
      </c>
      <c r="AE7" s="121">
        <f>VLOOKUP(A7,saisie!B$7:AL$8,31,0)</f>
        <v>91</v>
      </c>
      <c r="AF7" s="125">
        <f>VLOOKUP(A7,saisie!B$7:AL$8,32,0)</f>
        <v>263</v>
      </c>
      <c r="AG7" s="126">
        <f>VLOOKUP(A7,saisie!B$7:AL$8,33,0)</f>
        <v>0</v>
      </c>
      <c r="AH7" s="129">
        <f>VLOOKUP(A7,saisie!B$7:AL$8,34,0)</f>
        <v>1319</v>
      </c>
      <c r="AI7" s="130">
        <f>VLOOKUP(A7,saisie!B$7:AL$8,35,0)</f>
        <v>0</v>
      </c>
      <c r="AJ7" s="131"/>
    </row>
    <row r="8" spans="1:36" s="132" customFormat="1" ht="153" customHeight="1">
      <c r="A8" s="116">
        <f>IF(INFO!B8&gt;1,2,"")</f>
      </c>
      <c r="B8" s="117"/>
      <c r="C8" s="118"/>
      <c r="D8" s="119"/>
      <c r="E8" s="120"/>
      <c r="F8" s="121"/>
      <c r="G8" s="121"/>
      <c r="H8" s="122"/>
      <c r="I8" s="123"/>
      <c r="J8" s="124"/>
      <c r="K8" s="121"/>
      <c r="L8" s="121"/>
      <c r="M8" s="121"/>
      <c r="N8" s="125"/>
      <c r="O8" s="126"/>
      <c r="P8" s="127"/>
      <c r="Q8" s="121"/>
      <c r="R8" s="121"/>
      <c r="S8" s="121"/>
      <c r="T8" s="125"/>
      <c r="U8" s="126"/>
      <c r="V8" s="128"/>
      <c r="W8" s="121"/>
      <c r="X8" s="121"/>
      <c r="Y8" s="121"/>
      <c r="Z8" s="125"/>
      <c r="AA8" s="126"/>
      <c r="AB8" s="128"/>
      <c r="AC8" s="121"/>
      <c r="AD8" s="121"/>
      <c r="AE8" s="121"/>
      <c r="AF8" s="125"/>
      <c r="AG8" s="126"/>
      <c r="AH8" s="129"/>
      <c r="AI8" s="130" t="e">
        <f>VLOOKUP(A8,saisie!B$7:AL$8,35,0)</f>
        <v>#N/A</v>
      </c>
      <c r="AJ8" s="131"/>
    </row>
  </sheetData>
  <sheetProtection selectLockedCells="1" selectUnlockedCells="1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A7:A8">
    <cfRule type="expression" priority="1" dxfId="0" stopIfTrue="1">
      <formula>LEN(TRIM(A7))=0</formula>
    </cfRule>
  </conditionalFormatting>
  <conditionalFormatting sqref="B7:AI8">
    <cfRule type="cellIs" priority="2" dxfId="0" operator="equal" stopIfTrue="1">
      <formula>0</formula>
    </cfRule>
    <cfRule type="expression" priority="3" dxfId="0" stopIfTrue="1">
      <formula>ISERROR(B7)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1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8" zoomScaleNormal="88" zoomScaleSheetLayoutView="100" workbookViewId="0" topLeftCell="A1">
      <selection activeCell="D36" sqref="D36"/>
    </sheetView>
  </sheetViews>
  <sheetFormatPr defaultColWidth="8.00390625" defaultRowHeight="12.75"/>
  <cols>
    <col min="1" max="1" width="17.421875" style="133" customWidth="1"/>
    <col min="2" max="2" width="29.421875" style="133" customWidth="1"/>
    <col min="3" max="5" width="10.00390625" style="133" customWidth="1"/>
    <col min="6" max="7" width="9.8515625" style="133" customWidth="1"/>
    <col min="8" max="8" width="4.28125" style="133" customWidth="1"/>
    <col min="9" max="9" width="17.421875" style="133" customWidth="1"/>
    <col min="10" max="10" width="29.421875" style="133" customWidth="1"/>
    <col min="11" max="13" width="10.00390625" style="133" customWidth="1"/>
    <col min="14" max="14" width="9.8515625" style="133" customWidth="1"/>
    <col min="15" max="15" width="6.57421875" style="133" customWidth="1"/>
    <col min="16" max="16384" width="7.8515625" style="133" customWidth="1"/>
  </cols>
  <sheetData>
    <row r="1" spans="1:15" ht="21.75" customHeight="1">
      <c r="A1" s="134"/>
      <c r="B1" s="135" t="s">
        <v>47</v>
      </c>
      <c r="C1" s="134" t="str">
        <f>'M Q'!B7</f>
        <v>USST CHARLEVILLE</v>
      </c>
      <c r="D1" s="134"/>
      <c r="E1" s="134"/>
      <c r="F1" s="134">
        <f>'M Q'!AH7</f>
        <v>1319</v>
      </c>
      <c r="G1" s="134"/>
      <c r="H1" s="136"/>
      <c r="I1" s="137"/>
      <c r="J1" s="135">
        <f>IF(INFO!B8&gt;7,"CLUB N°8","")</f>
      </c>
      <c r="K1" s="134" t="e">
        <f>'M Q'!#REF!</f>
        <v>#REF!</v>
      </c>
      <c r="L1" s="134"/>
      <c r="M1" s="134"/>
      <c r="N1" s="134" t="e">
        <f>'M Q'!#REF!</f>
        <v>#REF!</v>
      </c>
      <c r="O1" s="135"/>
    </row>
    <row r="2" spans="1:15" ht="21.75" customHeight="1">
      <c r="A2" s="135"/>
      <c r="B2" s="135" t="s">
        <v>48</v>
      </c>
      <c r="C2" s="138" t="s">
        <v>49</v>
      </c>
      <c r="D2" s="138" t="s">
        <v>50</v>
      </c>
      <c r="E2" s="138" t="s">
        <v>51</v>
      </c>
      <c r="F2" s="135" t="s">
        <v>52</v>
      </c>
      <c r="G2" s="135"/>
      <c r="H2" s="136"/>
      <c r="I2" s="135"/>
      <c r="J2" s="135" t="s">
        <v>48</v>
      </c>
      <c r="K2" s="138" t="s">
        <v>49</v>
      </c>
      <c r="L2" s="138" t="s">
        <v>50</v>
      </c>
      <c r="M2" s="138" t="s">
        <v>51</v>
      </c>
      <c r="N2" s="135" t="s">
        <v>52</v>
      </c>
      <c r="O2" s="135"/>
    </row>
    <row r="3" spans="1:15" ht="21.75" customHeight="1">
      <c r="A3" s="139">
        <f>F3+0.0001*G3+0.0000001*E3+0.0000000001*D3</f>
        <v>266.000008609</v>
      </c>
      <c r="B3" s="135" t="str">
        <f>'M Q'!D7</f>
        <v>PROFICET Fabrice</v>
      </c>
      <c r="C3" s="134">
        <f>'M Q'!E7</f>
        <v>90</v>
      </c>
      <c r="D3" s="134">
        <f>'M Q'!F7</f>
        <v>90</v>
      </c>
      <c r="E3" s="134">
        <f>'M Q'!G7</f>
        <v>86</v>
      </c>
      <c r="F3" s="134">
        <f>'M Q'!H7</f>
        <v>266</v>
      </c>
      <c r="G3" s="134">
        <f>'M Q'!I7</f>
        <v>0</v>
      </c>
      <c r="H3" s="136"/>
      <c r="I3" s="139" t="e">
        <f>N3+0.0001*O3+0.0000001*M3+0.0000000001*L3</f>
        <v>#REF!</v>
      </c>
      <c r="J3" s="135" t="e">
        <f>'M Q'!#REF!</f>
        <v>#REF!</v>
      </c>
      <c r="K3" s="135" t="e">
        <f>'M Q'!#REF!</f>
        <v>#REF!</v>
      </c>
      <c r="L3" s="135" t="e">
        <f>'M Q'!#REF!</f>
        <v>#REF!</v>
      </c>
      <c r="M3" s="135" t="e">
        <f>'M Q'!#REF!</f>
        <v>#REF!</v>
      </c>
      <c r="N3" s="135" t="e">
        <f>'M Q'!#REF!</f>
        <v>#REF!</v>
      </c>
      <c r="O3" s="135" t="e">
        <f>'M Q'!#REF!</f>
        <v>#REF!</v>
      </c>
    </row>
    <row r="4" spans="1:15" ht="21.75" customHeight="1">
      <c r="A4" s="139">
        <f>F4+0.0001*G4+0.0000001*E4+0.0000000001*D4</f>
        <v>268.000009009</v>
      </c>
      <c r="B4" s="135" t="str">
        <f>'M Q'!J7</f>
        <v>PROFICET Hervé</v>
      </c>
      <c r="C4" s="134">
        <f>'M Q'!K7</f>
        <v>88</v>
      </c>
      <c r="D4" s="134">
        <f>'M Q'!L7</f>
        <v>90</v>
      </c>
      <c r="E4" s="134">
        <f>'M Q'!M7</f>
        <v>90</v>
      </c>
      <c r="F4" s="134">
        <f>'M Q'!N7</f>
        <v>268</v>
      </c>
      <c r="G4" s="134">
        <f>'M Q'!O7</f>
        <v>0</v>
      </c>
      <c r="H4" s="136"/>
      <c r="I4" s="139" t="e">
        <f>N4+0.0001*O4+0.0000001*M4+0.0000000001*L4</f>
        <v>#REF!</v>
      </c>
      <c r="J4" s="135" t="e">
        <f>'M Q'!#REF!</f>
        <v>#REF!</v>
      </c>
      <c r="K4" s="135" t="e">
        <f>'M Q'!#REF!</f>
        <v>#REF!</v>
      </c>
      <c r="L4" s="135" t="e">
        <f>'M Q'!#REF!</f>
        <v>#REF!</v>
      </c>
      <c r="M4" s="135" t="e">
        <f>'M Q'!#REF!</f>
        <v>#REF!</v>
      </c>
      <c r="N4" s="135" t="e">
        <f>'M Q'!#REF!</f>
        <v>#REF!</v>
      </c>
      <c r="O4" s="135" t="e">
        <f>'M Q'!#REF!</f>
        <v>#REF!</v>
      </c>
    </row>
    <row r="5" spans="1:15" ht="21.75" customHeight="1">
      <c r="A5" s="139">
        <f>F5+0.0001*G5+0.0000001*E5+0.0000000001*D5</f>
        <v>268.00000920900004</v>
      </c>
      <c r="B5" s="135" t="str">
        <f>'M Q'!P7</f>
        <v>CLAISSE Didier</v>
      </c>
      <c r="C5" s="134">
        <f>'M Q'!Q7</f>
        <v>86</v>
      </c>
      <c r="D5" s="134">
        <f>'M Q'!R7</f>
        <v>90</v>
      </c>
      <c r="E5" s="134">
        <f>'M Q'!S7</f>
        <v>92</v>
      </c>
      <c r="F5" s="134">
        <f>'M Q'!T7</f>
        <v>268</v>
      </c>
      <c r="G5" s="134">
        <f>'M Q'!U7</f>
        <v>0</v>
      </c>
      <c r="H5" s="136"/>
      <c r="I5" s="139" t="e">
        <f>N5+0.0001*O5+0.0000001*M5+0.0000000001*L5</f>
        <v>#REF!</v>
      </c>
      <c r="J5" s="135" t="e">
        <f>'M Q'!#REF!</f>
        <v>#REF!</v>
      </c>
      <c r="K5" s="135" t="e">
        <f>'M Q'!#REF!</f>
        <v>#REF!</v>
      </c>
      <c r="L5" s="135" t="e">
        <f>'M Q'!#REF!</f>
        <v>#REF!</v>
      </c>
      <c r="M5" s="135" t="e">
        <f>'M Q'!#REF!</f>
        <v>#REF!</v>
      </c>
      <c r="N5" s="135" t="e">
        <f>'M Q'!#REF!</f>
        <v>#REF!</v>
      </c>
      <c r="O5" s="135" t="e">
        <f>'M Q'!#REF!</f>
        <v>#REF!</v>
      </c>
    </row>
    <row r="6" spans="1:15" ht="21.75" customHeight="1">
      <c r="A6" s="139">
        <f>F6+0.0001*G6+0.0000001*E6+0.0000000001*D6</f>
        <v>254.0000086081</v>
      </c>
      <c r="B6" s="135" t="str">
        <f>'M Q'!V7</f>
        <v>FRERE Fabien</v>
      </c>
      <c r="C6" s="134">
        <f>'M Q'!W7</f>
        <v>87</v>
      </c>
      <c r="D6" s="134">
        <f>'M Q'!X7</f>
        <v>81</v>
      </c>
      <c r="E6" s="134">
        <f>'M Q'!Y7</f>
        <v>86</v>
      </c>
      <c r="F6" s="134">
        <f>'M Q'!Z7</f>
        <v>254</v>
      </c>
      <c r="G6" s="134">
        <f>'M Q'!AA7</f>
        <v>0</v>
      </c>
      <c r="H6" s="136"/>
      <c r="I6" s="139" t="e">
        <f>N6+0.0001*O6+0.0000001*M6+0.0000000001*L6</f>
        <v>#REF!</v>
      </c>
      <c r="J6" s="135" t="e">
        <f>'M Q'!#REF!</f>
        <v>#REF!</v>
      </c>
      <c r="K6" s="135" t="e">
        <f>'M Q'!#REF!</f>
        <v>#REF!</v>
      </c>
      <c r="L6" s="135" t="e">
        <f>'M Q'!#REF!</f>
        <v>#REF!</v>
      </c>
      <c r="M6" s="135" t="e">
        <f>'M Q'!#REF!</f>
        <v>#REF!</v>
      </c>
      <c r="N6" s="135" t="e">
        <f>'M Q'!#REF!</f>
        <v>#REF!</v>
      </c>
      <c r="O6" s="135" t="e">
        <f>'M Q'!#REF!</f>
        <v>#REF!</v>
      </c>
    </row>
    <row r="7" spans="1:15" ht="21.75" customHeight="1">
      <c r="A7" s="139">
        <f>F7+0.0001*G7+0.0000001*E7+0.0000000001*D7</f>
        <v>263.0000091092</v>
      </c>
      <c r="B7" s="135" t="str">
        <f>'M Q'!AB7</f>
        <v>PROFICET Pauline</v>
      </c>
      <c r="C7" s="134">
        <f>'M Q'!AC7</f>
        <v>80</v>
      </c>
      <c r="D7" s="134">
        <f>'M Q'!AD7</f>
        <v>92</v>
      </c>
      <c r="E7" s="134">
        <f>'M Q'!AE7</f>
        <v>91</v>
      </c>
      <c r="F7" s="134">
        <f>'M Q'!AF7</f>
        <v>263</v>
      </c>
      <c r="G7" s="134">
        <f>'M Q'!AG7</f>
        <v>0</v>
      </c>
      <c r="H7" s="136"/>
      <c r="I7" s="139" t="e">
        <f>N7+0.0001*O7+0.0000001*M7+0.0000000001*L7</f>
        <v>#REF!</v>
      </c>
      <c r="J7" s="135" t="e">
        <f>'M Q'!#REF!</f>
        <v>#REF!</v>
      </c>
      <c r="K7" s="135" t="e">
        <f>'M Q'!#REF!</f>
        <v>#REF!</v>
      </c>
      <c r="L7" s="135" t="e">
        <f>'M Q'!#REF!</f>
        <v>#REF!</v>
      </c>
      <c r="M7" s="135" t="e">
        <f>'M Q'!#REF!</f>
        <v>#REF!</v>
      </c>
      <c r="N7" s="135" t="e">
        <f>'M Q'!#REF!</f>
        <v>#REF!</v>
      </c>
      <c r="O7" s="135" t="e">
        <f>'M Q'!#REF!</f>
        <v>#REF!</v>
      </c>
    </row>
    <row r="8" spans="1:15" ht="21.75" customHeight="1">
      <c r="A8" s="140"/>
      <c r="B8" s="136"/>
      <c r="C8" s="136"/>
      <c r="D8" s="136"/>
      <c r="E8" s="136"/>
      <c r="F8" s="136"/>
      <c r="G8" s="136"/>
      <c r="H8" s="136"/>
      <c r="I8" s="140"/>
      <c r="J8" s="136"/>
      <c r="K8" s="136"/>
      <c r="L8" s="136"/>
      <c r="M8" s="136"/>
      <c r="N8" s="136"/>
      <c r="O8" s="136"/>
    </row>
    <row r="9" spans="1:15" ht="21.75" customHeight="1">
      <c r="A9" s="134"/>
      <c r="B9" s="135" t="s">
        <v>53</v>
      </c>
      <c r="C9" s="135">
        <f>'M Q'!B8</f>
        <v>0</v>
      </c>
      <c r="D9" s="135"/>
      <c r="E9" s="135"/>
      <c r="F9" s="134">
        <f>'M Q'!AH8</f>
        <v>0</v>
      </c>
      <c r="G9" s="134"/>
      <c r="H9" s="136"/>
      <c r="I9" s="134"/>
      <c r="J9" s="135">
        <f>IF(INFO!B8&gt;6,"CLUB N°7","")</f>
      </c>
      <c r="K9" s="135" t="e">
        <f>'M Q'!#REF!</f>
        <v>#REF!</v>
      </c>
      <c r="L9" s="135"/>
      <c r="M9" s="135"/>
      <c r="N9" s="134" t="e">
        <f>'M Q'!#REF!</f>
        <v>#REF!</v>
      </c>
      <c r="O9" s="135"/>
    </row>
    <row r="10" spans="1:15" ht="21.75" customHeight="1">
      <c r="A10" s="135"/>
      <c r="B10" s="135" t="s">
        <v>48</v>
      </c>
      <c r="C10" s="138" t="s">
        <v>49</v>
      </c>
      <c r="D10" s="138" t="s">
        <v>50</v>
      </c>
      <c r="E10" s="138" t="s">
        <v>51</v>
      </c>
      <c r="F10" s="135" t="s">
        <v>52</v>
      </c>
      <c r="G10" s="135"/>
      <c r="H10" s="136"/>
      <c r="I10" s="135"/>
      <c r="J10" s="135" t="s">
        <v>48</v>
      </c>
      <c r="K10" s="138" t="s">
        <v>49</v>
      </c>
      <c r="L10" s="138" t="s">
        <v>50</v>
      </c>
      <c r="M10" s="138" t="s">
        <v>51</v>
      </c>
      <c r="N10" s="135" t="s">
        <v>52</v>
      </c>
      <c r="O10" s="135"/>
    </row>
    <row r="11" spans="1:15" ht="21.75" customHeight="1">
      <c r="A11" s="139">
        <f>F11+0.0001*G11+0.0000001*E11+0.0000000001*D11</f>
        <v>0</v>
      </c>
      <c r="B11" s="135">
        <f>'M Q'!D8</f>
        <v>0</v>
      </c>
      <c r="C11" s="134">
        <f>'M Q'!E8</f>
        <v>0</v>
      </c>
      <c r="D11" s="134">
        <f>'M Q'!F8</f>
        <v>0</v>
      </c>
      <c r="E11" s="134">
        <f>'M Q'!G8</f>
        <v>0</v>
      </c>
      <c r="F11" s="134">
        <f>'M Q'!H8</f>
        <v>0</v>
      </c>
      <c r="G11" s="134">
        <f>'M Q'!I8</f>
        <v>0</v>
      </c>
      <c r="H11" s="136"/>
      <c r="I11" s="139" t="e">
        <f>N11+0.0001*O11+0.0000001*M11+0.0000000001*L11</f>
        <v>#REF!</v>
      </c>
      <c r="J11" s="135" t="e">
        <f>'M Q'!#REF!</f>
        <v>#REF!</v>
      </c>
      <c r="K11" s="135" t="e">
        <f>'M Q'!#REF!</f>
        <v>#REF!</v>
      </c>
      <c r="L11" s="135" t="e">
        <f>'M Q'!#REF!</f>
        <v>#REF!</v>
      </c>
      <c r="M11" s="135" t="e">
        <f>'M Q'!#REF!</f>
        <v>#REF!</v>
      </c>
      <c r="N11" s="135" t="e">
        <f>'M Q'!#REF!</f>
        <v>#REF!</v>
      </c>
      <c r="O11" s="135" t="e">
        <f>'M Q'!#REF!</f>
        <v>#REF!</v>
      </c>
    </row>
    <row r="12" spans="1:15" ht="21.75" customHeight="1">
      <c r="A12" s="139">
        <f>F12+0.0001*G12+0.0000001*E12+0.0000000001*D12</f>
        <v>0</v>
      </c>
      <c r="B12" s="135">
        <f>'M Q'!J8</f>
        <v>0</v>
      </c>
      <c r="C12" s="134">
        <f>'M Q'!K8</f>
        <v>0</v>
      </c>
      <c r="D12" s="134">
        <f>'M Q'!L8</f>
        <v>0</v>
      </c>
      <c r="E12" s="134">
        <f>'M Q'!M8</f>
        <v>0</v>
      </c>
      <c r="F12" s="134">
        <f>'M Q'!N8</f>
        <v>0</v>
      </c>
      <c r="G12" s="134">
        <f>'M Q'!O8</f>
        <v>0</v>
      </c>
      <c r="H12" s="136"/>
      <c r="I12" s="139" t="e">
        <f>N12+0.0001*O12+0.0000001*M12+0.0000000001*L12</f>
        <v>#REF!</v>
      </c>
      <c r="J12" s="135" t="e">
        <f>'M Q'!#REF!</f>
        <v>#REF!</v>
      </c>
      <c r="K12" s="135" t="e">
        <f>'M Q'!#REF!</f>
        <v>#REF!</v>
      </c>
      <c r="L12" s="135" t="e">
        <f>'M Q'!#REF!</f>
        <v>#REF!</v>
      </c>
      <c r="M12" s="135" t="e">
        <f>'M Q'!#REF!</f>
        <v>#REF!</v>
      </c>
      <c r="N12" s="135" t="e">
        <f>'M Q'!#REF!</f>
        <v>#REF!</v>
      </c>
      <c r="O12" s="135" t="e">
        <f>'M Q'!#REF!</f>
        <v>#REF!</v>
      </c>
    </row>
    <row r="13" spans="1:15" ht="21.75" customHeight="1">
      <c r="A13" s="139">
        <f>F13+0.0001*G13+0.0000001*E13+0.0000000001*D13</f>
        <v>0</v>
      </c>
      <c r="B13" s="135">
        <f>'M Q'!P8</f>
        <v>0</v>
      </c>
      <c r="C13" s="134">
        <f>'M Q'!Q8</f>
        <v>0</v>
      </c>
      <c r="D13" s="134">
        <f>'M Q'!R8</f>
        <v>0</v>
      </c>
      <c r="E13" s="134">
        <f>'M Q'!S8</f>
        <v>0</v>
      </c>
      <c r="F13" s="134">
        <f>'M Q'!T8</f>
        <v>0</v>
      </c>
      <c r="G13" s="134">
        <f>'M Q'!U8</f>
        <v>0</v>
      </c>
      <c r="H13" s="136"/>
      <c r="I13" s="139" t="e">
        <f>N13+0.0001*O13+0.0000001*M13+0.0000000001*L13</f>
        <v>#REF!</v>
      </c>
      <c r="J13" s="135" t="e">
        <f>'M Q'!#REF!</f>
        <v>#REF!</v>
      </c>
      <c r="K13" s="135" t="e">
        <f>'M Q'!#REF!</f>
        <v>#REF!</v>
      </c>
      <c r="L13" s="135" t="e">
        <f>'M Q'!#REF!</f>
        <v>#REF!</v>
      </c>
      <c r="M13" s="135" t="e">
        <f>'M Q'!#REF!</f>
        <v>#REF!</v>
      </c>
      <c r="N13" s="135" t="e">
        <f>'M Q'!#REF!</f>
        <v>#REF!</v>
      </c>
      <c r="O13" s="135" t="e">
        <f>'M Q'!#REF!</f>
        <v>#REF!</v>
      </c>
    </row>
    <row r="14" spans="1:15" ht="21.75" customHeight="1">
      <c r="A14" s="139">
        <f>F14+0.0001*G14+0.0000001*E14+0.0000000001*D14</f>
        <v>0</v>
      </c>
      <c r="B14" s="135">
        <f>'M Q'!V8</f>
        <v>0</v>
      </c>
      <c r="C14" s="134">
        <f>'M Q'!W8</f>
        <v>0</v>
      </c>
      <c r="D14" s="134">
        <f>'M Q'!X8</f>
        <v>0</v>
      </c>
      <c r="E14" s="134">
        <f>'M Q'!Y8</f>
        <v>0</v>
      </c>
      <c r="F14" s="134">
        <f>'M Q'!Z8</f>
        <v>0</v>
      </c>
      <c r="G14" s="134">
        <f>'M Q'!AA8</f>
        <v>0</v>
      </c>
      <c r="H14" s="136"/>
      <c r="I14" s="139" t="e">
        <f>N14+0.0001*O14+0.0000001*M14+0.0000000001*L14</f>
        <v>#REF!</v>
      </c>
      <c r="J14" s="135" t="e">
        <f>'M Q'!#REF!</f>
        <v>#REF!</v>
      </c>
      <c r="K14" s="135" t="e">
        <f>'M Q'!#REF!</f>
        <v>#REF!</v>
      </c>
      <c r="L14" s="135" t="e">
        <f>'M Q'!#REF!</f>
        <v>#REF!</v>
      </c>
      <c r="M14" s="135" t="e">
        <f>'M Q'!#REF!</f>
        <v>#REF!</v>
      </c>
      <c r="N14" s="135" t="e">
        <f>'M Q'!#REF!</f>
        <v>#REF!</v>
      </c>
      <c r="O14" s="135" t="e">
        <f>'M Q'!#REF!</f>
        <v>#REF!</v>
      </c>
    </row>
    <row r="15" spans="1:15" ht="21.75" customHeight="1">
      <c r="A15" s="139">
        <f>F15+0.0001*G15+0.0000001*E15+0.0000000001*D15</f>
        <v>0</v>
      </c>
      <c r="B15" s="135">
        <f>'M Q'!AB8</f>
        <v>0</v>
      </c>
      <c r="C15" s="134">
        <f>'M Q'!AC8</f>
        <v>0</v>
      </c>
      <c r="D15" s="134">
        <f>'M Q'!AD8</f>
        <v>0</v>
      </c>
      <c r="E15" s="134">
        <f>'M Q'!AE8</f>
        <v>0</v>
      </c>
      <c r="F15" s="134">
        <f>'M Q'!AF8</f>
        <v>0</v>
      </c>
      <c r="G15" s="134">
        <f>'M Q'!AG8</f>
        <v>0</v>
      </c>
      <c r="H15" s="136"/>
      <c r="I15" s="139" t="e">
        <f>N15+0.0001*O15+0.0000001*M15+0.0000000001*L15</f>
        <v>#REF!</v>
      </c>
      <c r="J15" s="135" t="e">
        <f>'M Q'!#REF!</f>
        <v>#REF!</v>
      </c>
      <c r="K15" s="135" t="e">
        <f>'M Q'!#REF!</f>
        <v>#REF!</v>
      </c>
      <c r="L15" s="135" t="e">
        <f>'M Q'!#REF!</f>
        <v>#REF!</v>
      </c>
      <c r="M15" s="135" t="e">
        <f>'M Q'!#REF!</f>
        <v>#REF!</v>
      </c>
      <c r="N15" s="135" t="e">
        <f>'M Q'!#REF!</f>
        <v>#REF!</v>
      </c>
      <c r="O15" s="135" t="e">
        <f>'M Q'!#REF!</f>
        <v>#REF!</v>
      </c>
    </row>
    <row r="16" spans="1:15" ht="21.75" customHeight="1">
      <c r="A16" s="140"/>
      <c r="B16" s="136"/>
      <c r="C16" s="136"/>
      <c r="D16" s="136"/>
      <c r="E16" s="136"/>
      <c r="F16" s="136"/>
      <c r="G16" s="136"/>
      <c r="H16" s="136"/>
      <c r="I16" s="140"/>
      <c r="J16" s="136"/>
      <c r="K16" s="136"/>
      <c r="L16" s="136"/>
      <c r="M16" s="136"/>
      <c r="N16" s="136"/>
      <c r="O16" s="136"/>
    </row>
    <row r="17" spans="1:15" ht="21.75" customHeight="1">
      <c r="A17" s="134"/>
      <c r="B17" s="135">
        <f>IF(INFO!B8&gt;2,"CLUB N°3","")</f>
      </c>
      <c r="C17" s="135" t="e">
        <f>'M Q'!#REF!</f>
        <v>#REF!</v>
      </c>
      <c r="D17" s="135"/>
      <c r="E17" s="135"/>
      <c r="F17" s="134" t="e">
        <f>'M Q'!#REF!</f>
        <v>#REF!</v>
      </c>
      <c r="G17" s="134"/>
      <c r="H17" s="136"/>
      <c r="I17" s="134"/>
      <c r="J17" s="135">
        <f>IF(INFO!B8&gt;5,"CLUB N°6","")</f>
      </c>
      <c r="K17" s="135" t="e">
        <f>'M Q'!#REF!</f>
        <v>#REF!</v>
      </c>
      <c r="L17" s="135"/>
      <c r="M17" s="135"/>
      <c r="N17" s="134" t="e">
        <f>'M Q'!#REF!</f>
        <v>#REF!</v>
      </c>
      <c r="O17" s="135"/>
    </row>
    <row r="18" spans="1:15" ht="21.75" customHeight="1">
      <c r="A18" s="135"/>
      <c r="B18" s="135" t="s">
        <v>48</v>
      </c>
      <c r="C18" s="138" t="s">
        <v>49</v>
      </c>
      <c r="D18" s="138" t="s">
        <v>50</v>
      </c>
      <c r="E18" s="138" t="s">
        <v>51</v>
      </c>
      <c r="F18" s="135" t="s">
        <v>52</v>
      </c>
      <c r="G18" s="135"/>
      <c r="H18" s="136"/>
      <c r="I18" s="135"/>
      <c r="J18" s="135" t="s">
        <v>48</v>
      </c>
      <c r="K18" s="138" t="s">
        <v>49</v>
      </c>
      <c r="L18" s="138" t="s">
        <v>50</v>
      </c>
      <c r="M18" s="138" t="s">
        <v>51</v>
      </c>
      <c r="N18" s="135" t="s">
        <v>52</v>
      </c>
      <c r="O18" s="135"/>
    </row>
    <row r="19" spans="1:15" ht="21.75" customHeight="1">
      <c r="A19" s="141" t="e">
        <f>F19+0.0001*G19+0.0000001*E19+0.0000000001*D19</f>
        <v>#REF!</v>
      </c>
      <c r="B19" s="135" t="e">
        <f>'M Q'!#REF!</f>
        <v>#REF!</v>
      </c>
      <c r="C19" s="134" t="e">
        <f>'M Q'!#REF!</f>
        <v>#REF!</v>
      </c>
      <c r="D19" s="134" t="e">
        <f>'M Q'!#REF!</f>
        <v>#REF!</v>
      </c>
      <c r="E19" s="134" t="e">
        <f>'M Q'!#REF!</f>
        <v>#REF!</v>
      </c>
      <c r="F19" s="134" t="e">
        <f>'M Q'!#REF!</f>
        <v>#REF!</v>
      </c>
      <c r="G19" s="134" t="e">
        <f>'M Q'!#REF!</f>
        <v>#REF!</v>
      </c>
      <c r="H19" s="136"/>
      <c r="I19" s="139" t="e">
        <f>N19+0.0001*O19+0.0000001*M19+0.0000000001*L19</f>
        <v>#REF!</v>
      </c>
      <c r="J19" s="135" t="e">
        <f>'M Q'!#REF!</f>
        <v>#REF!</v>
      </c>
      <c r="K19" s="135" t="e">
        <f>'M Q'!#REF!</f>
        <v>#REF!</v>
      </c>
      <c r="L19" s="135" t="e">
        <f>'M Q'!#REF!</f>
        <v>#REF!</v>
      </c>
      <c r="M19" s="135" t="e">
        <f>'M Q'!#REF!</f>
        <v>#REF!</v>
      </c>
      <c r="N19" s="135" t="e">
        <f>'M Q'!#REF!</f>
        <v>#REF!</v>
      </c>
      <c r="O19" s="135" t="e">
        <f>'M Q'!#REF!</f>
        <v>#REF!</v>
      </c>
    </row>
    <row r="20" spans="1:15" ht="21.75" customHeight="1">
      <c r="A20" s="141" t="e">
        <f>F20+0.0001*G20+0.0000001*E20+0.0000000001*D20</f>
        <v>#REF!</v>
      </c>
      <c r="B20" s="135" t="e">
        <f>'M Q'!#REF!</f>
        <v>#REF!</v>
      </c>
      <c r="C20" s="134" t="e">
        <f>'M Q'!#REF!</f>
        <v>#REF!</v>
      </c>
      <c r="D20" s="134" t="e">
        <f>'M Q'!#REF!</f>
        <v>#REF!</v>
      </c>
      <c r="E20" s="134" t="e">
        <f>'M Q'!#REF!</f>
        <v>#REF!</v>
      </c>
      <c r="F20" s="134" t="e">
        <f>'M Q'!#REF!</f>
        <v>#REF!</v>
      </c>
      <c r="G20" s="134" t="e">
        <f>'M Q'!#REF!</f>
        <v>#REF!</v>
      </c>
      <c r="H20" s="136"/>
      <c r="I20" s="139" t="e">
        <f>N20+0.0001*O20+0.0000001*M20+0.0000000001*L20</f>
        <v>#REF!</v>
      </c>
      <c r="J20" s="135" t="e">
        <f>'M Q'!#REF!</f>
        <v>#REF!</v>
      </c>
      <c r="K20" s="135" t="e">
        <f>'M Q'!#REF!</f>
        <v>#REF!</v>
      </c>
      <c r="L20" s="135" t="e">
        <f>'M Q'!#REF!</f>
        <v>#REF!</v>
      </c>
      <c r="M20" s="135" t="e">
        <f>'M Q'!#REF!</f>
        <v>#REF!</v>
      </c>
      <c r="N20" s="135" t="e">
        <f>'M Q'!#REF!</f>
        <v>#REF!</v>
      </c>
      <c r="O20" s="135" t="e">
        <f>'M Q'!#REF!</f>
        <v>#REF!</v>
      </c>
    </row>
    <row r="21" spans="1:15" ht="21.75" customHeight="1">
      <c r="A21" s="141" t="e">
        <f>F21+0.0001*G21+0.0000001*E21+0.0000000001*D21</f>
        <v>#REF!</v>
      </c>
      <c r="B21" s="135" t="e">
        <f>'M Q'!#REF!</f>
        <v>#REF!</v>
      </c>
      <c r="C21" s="134" t="e">
        <f>'M Q'!#REF!</f>
        <v>#REF!</v>
      </c>
      <c r="D21" s="134" t="e">
        <f>'M Q'!#REF!</f>
        <v>#REF!</v>
      </c>
      <c r="E21" s="134" t="e">
        <f>'M Q'!#REF!</f>
        <v>#REF!</v>
      </c>
      <c r="F21" s="134" t="e">
        <f>'M Q'!#REF!</f>
        <v>#REF!</v>
      </c>
      <c r="G21" s="134" t="e">
        <f>'M Q'!#REF!</f>
        <v>#REF!</v>
      </c>
      <c r="H21" s="136"/>
      <c r="I21" s="139" t="e">
        <f>N21+0.0001*O21+0.0000001*M21+0.0000000001*L21</f>
        <v>#REF!</v>
      </c>
      <c r="J21" s="135" t="e">
        <f>'M Q'!#REF!</f>
        <v>#REF!</v>
      </c>
      <c r="K21" s="135" t="e">
        <f>'M Q'!#REF!</f>
        <v>#REF!</v>
      </c>
      <c r="L21" s="135" t="e">
        <f>'M Q'!#REF!</f>
        <v>#REF!</v>
      </c>
      <c r="M21" s="135" t="e">
        <f>'M Q'!#REF!</f>
        <v>#REF!</v>
      </c>
      <c r="N21" s="135" t="e">
        <f>'M Q'!#REF!</f>
        <v>#REF!</v>
      </c>
      <c r="O21" s="135" t="e">
        <f>'M Q'!#REF!</f>
        <v>#REF!</v>
      </c>
    </row>
    <row r="22" spans="1:15" ht="21.75" customHeight="1">
      <c r="A22" s="141" t="e">
        <f>F22+0.0001*G22+0.0000001*E22+0.0000000001*D22</f>
        <v>#REF!</v>
      </c>
      <c r="B22" s="135" t="e">
        <f>'M Q'!#REF!</f>
        <v>#REF!</v>
      </c>
      <c r="C22" s="134" t="e">
        <f>'M Q'!#REF!</f>
        <v>#REF!</v>
      </c>
      <c r="D22" s="134" t="e">
        <f>'M Q'!#REF!</f>
        <v>#REF!</v>
      </c>
      <c r="E22" s="134" t="e">
        <f>'M Q'!#REF!</f>
        <v>#REF!</v>
      </c>
      <c r="F22" s="134" t="e">
        <f>'M Q'!#REF!</f>
        <v>#REF!</v>
      </c>
      <c r="G22" s="134" t="e">
        <f>'M Q'!#REF!</f>
        <v>#REF!</v>
      </c>
      <c r="H22" s="136"/>
      <c r="I22" s="139" t="e">
        <f>N22+0.0001*O22+0.0000001*M22+0.0000000001*L22</f>
        <v>#REF!</v>
      </c>
      <c r="J22" s="135" t="e">
        <f>'M Q'!#REF!</f>
        <v>#REF!</v>
      </c>
      <c r="K22" s="135" t="e">
        <f>'M Q'!#REF!</f>
        <v>#REF!</v>
      </c>
      <c r="L22" s="135" t="e">
        <f>'M Q'!#REF!</f>
        <v>#REF!</v>
      </c>
      <c r="M22" s="135" t="e">
        <f>'M Q'!#REF!</f>
        <v>#REF!</v>
      </c>
      <c r="N22" s="135" t="e">
        <f>'M Q'!#REF!</f>
        <v>#REF!</v>
      </c>
      <c r="O22" s="135" t="e">
        <f>'M Q'!#REF!</f>
        <v>#REF!</v>
      </c>
    </row>
    <row r="23" spans="1:15" ht="21.75" customHeight="1">
      <c r="A23" s="141" t="e">
        <f>F23+0.0001*G23+0.0000001*E23+0.0000000001*D23</f>
        <v>#REF!</v>
      </c>
      <c r="B23" s="135" t="e">
        <f>'M Q'!#REF!</f>
        <v>#REF!</v>
      </c>
      <c r="C23" s="134" t="e">
        <f>'M Q'!#REF!</f>
        <v>#REF!</v>
      </c>
      <c r="D23" s="134" t="e">
        <f>'M Q'!#REF!</f>
        <v>#REF!</v>
      </c>
      <c r="E23" s="134" t="e">
        <f>'M Q'!#REF!</f>
        <v>#REF!</v>
      </c>
      <c r="F23" s="134" t="e">
        <f>'M Q'!#REF!</f>
        <v>#REF!</v>
      </c>
      <c r="G23" s="134" t="e">
        <f>'M Q'!#REF!</f>
        <v>#REF!</v>
      </c>
      <c r="H23" s="136"/>
      <c r="I23" s="139" t="e">
        <f>N23+0.0001*O23+0.0000001*M23+0.0000000001*L23</f>
        <v>#REF!</v>
      </c>
      <c r="J23" s="135" t="e">
        <f>'M Q'!#REF!</f>
        <v>#REF!</v>
      </c>
      <c r="K23" s="135" t="e">
        <f>'M Q'!#REF!</f>
        <v>#REF!</v>
      </c>
      <c r="L23" s="135" t="e">
        <f>'M Q'!#REF!</f>
        <v>#REF!</v>
      </c>
      <c r="M23" s="135" t="e">
        <f>'M Q'!#REF!</f>
        <v>#REF!</v>
      </c>
      <c r="N23" s="135" t="e">
        <f>'M Q'!#REF!</f>
        <v>#REF!</v>
      </c>
      <c r="O23" s="135" t="e">
        <f>'M Q'!#REF!</f>
        <v>#REF!</v>
      </c>
    </row>
    <row r="24" spans="1:15" ht="21.75" customHeight="1">
      <c r="A24" s="140"/>
      <c r="B24" s="136"/>
      <c r="C24" s="136"/>
      <c r="D24" s="136"/>
      <c r="E24" s="136"/>
      <c r="F24" s="136"/>
      <c r="G24" s="136"/>
      <c r="H24" s="136"/>
      <c r="I24" s="140"/>
      <c r="J24" s="136"/>
      <c r="K24" s="136"/>
      <c r="L24" s="136"/>
      <c r="M24" s="136"/>
      <c r="N24" s="136"/>
      <c r="O24" s="136"/>
    </row>
    <row r="25" spans="1:15" ht="21.75" customHeight="1">
      <c r="A25" s="134"/>
      <c r="B25" s="135">
        <f>IF(INFO!B8&gt;3,"CLUB N°4","")</f>
      </c>
      <c r="C25" s="135" t="e">
        <f>'M Q'!#REF!</f>
        <v>#REF!</v>
      </c>
      <c r="D25" s="135"/>
      <c r="E25" s="135"/>
      <c r="F25" s="134" t="e">
        <f>'M Q'!#REF!</f>
        <v>#REF!</v>
      </c>
      <c r="G25" s="134"/>
      <c r="H25" s="136"/>
      <c r="I25" s="134"/>
      <c r="J25" s="135">
        <f>IF(INFO!B8&gt;4,"CLUB N°5","")</f>
      </c>
      <c r="K25" s="135" t="e">
        <f>'M Q'!#REF!</f>
        <v>#REF!</v>
      </c>
      <c r="L25" s="135"/>
      <c r="M25" s="135"/>
      <c r="N25" s="134" t="e">
        <f>'M Q'!#REF!</f>
        <v>#REF!</v>
      </c>
      <c r="O25" s="135"/>
    </row>
    <row r="26" spans="1:15" ht="21.75" customHeight="1">
      <c r="A26" s="135"/>
      <c r="B26" s="135" t="s">
        <v>48</v>
      </c>
      <c r="C26" s="138" t="s">
        <v>49</v>
      </c>
      <c r="D26" s="138" t="s">
        <v>50</v>
      </c>
      <c r="E26" s="138" t="s">
        <v>51</v>
      </c>
      <c r="F26" s="135" t="s">
        <v>52</v>
      </c>
      <c r="G26" s="135"/>
      <c r="H26" s="136"/>
      <c r="I26" s="135"/>
      <c r="J26" s="135" t="s">
        <v>48</v>
      </c>
      <c r="K26" s="138" t="s">
        <v>49</v>
      </c>
      <c r="L26" s="138" t="s">
        <v>50</v>
      </c>
      <c r="M26" s="138" t="s">
        <v>51</v>
      </c>
      <c r="N26" s="135" t="s">
        <v>52</v>
      </c>
      <c r="O26" s="135"/>
    </row>
    <row r="27" spans="1:15" ht="21.75" customHeight="1">
      <c r="A27" s="139" t="e">
        <f>F27+0.0001*G27+0.0000001*E27+0.0000000001*D27</f>
        <v>#REF!</v>
      </c>
      <c r="B27" s="135" t="e">
        <f>'M Q'!#REF!</f>
        <v>#REF!</v>
      </c>
      <c r="C27" s="134" t="e">
        <f>'M Q'!#REF!</f>
        <v>#REF!</v>
      </c>
      <c r="D27" s="134" t="e">
        <f>'M Q'!#REF!</f>
        <v>#REF!</v>
      </c>
      <c r="E27" s="134" t="e">
        <f>'M Q'!#REF!</f>
        <v>#REF!</v>
      </c>
      <c r="F27" s="134" t="e">
        <f>'M Q'!#REF!</f>
        <v>#REF!</v>
      </c>
      <c r="G27" s="134" t="e">
        <f>'M Q'!#REF!</f>
        <v>#REF!</v>
      </c>
      <c r="H27" s="136"/>
      <c r="I27" s="139" t="e">
        <f>N27+0.0001*O27+0.0000001*M27+0.0000000001*L27</f>
        <v>#REF!</v>
      </c>
      <c r="J27" s="135" t="e">
        <f>'M Q'!#REF!</f>
        <v>#REF!</v>
      </c>
      <c r="K27" s="135" t="e">
        <f>'M Q'!#REF!</f>
        <v>#REF!</v>
      </c>
      <c r="L27" s="135" t="e">
        <f>'M Q'!#REF!</f>
        <v>#REF!</v>
      </c>
      <c r="M27" s="135" t="e">
        <f>'M Q'!#REF!</f>
        <v>#REF!</v>
      </c>
      <c r="N27" s="135" t="e">
        <f>'M Q'!#REF!</f>
        <v>#REF!</v>
      </c>
      <c r="O27" s="135" t="e">
        <f>'M Q'!#REF!</f>
        <v>#REF!</v>
      </c>
    </row>
    <row r="28" spans="1:15" ht="21.75" customHeight="1">
      <c r="A28" s="139" t="e">
        <f>F28+0.0001*G28+0.0000001*E28+0.0000000001*D28</f>
        <v>#REF!</v>
      </c>
      <c r="B28" s="135" t="e">
        <f>'M Q'!#REF!</f>
        <v>#REF!</v>
      </c>
      <c r="C28" s="134" t="e">
        <f>'M Q'!#REF!</f>
        <v>#REF!</v>
      </c>
      <c r="D28" s="134" t="e">
        <f>'M Q'!#REF!</f>
        <v>#REF!</v>
      </c>
      <c r="E28" s="134" t="e">
        <f>'M Q'!#REF!</f>
        <v>#REF!</v>
      </c>
      <c r="F28" s="134" t="e">
        <f>'M Q'!#REF!</f>
        <v>#REF!</v>
      </c>
      <c r="G28" s="134" t="e">
        <f>'M Q'!#REF!</f>
        <v>#REF!</v>
      </c>
      <c r="H28" s="136"/>
      <c r="I28" s="139" t="e">
        <f>N28+0.0001*O28+0.0000001*M28+0.0000000001*L28</f>
        <v>#REF!</v>
      </c>
      <c r="J28" s="135" t="e">
        <f>'M Q'!#REF!</f>
        <v>#REF!</v>
      </c>
      <c r="K28" s="135" t="e">
        <f>'M Q'!#REF!</f>
        <v>#REF!</v>
      </c>
      <c r="L28" s="135" t="e">
        <f>'M Q'!#REF!</f>
        <v>#REF!</v>
      </c>
      <c r="M28" s="135" t="e">
        <f>'M Q'!#REF!</f>
        <v>#REF!</v>
      </c>
      <c r="N28" s="135" t="e">
        <f>'M Q'!#REF!</f>
        <v>#REF!</v>
      </c>
      <c r="O28" s="135" t="e">
        <f>'M Q'!#REF!</f>
        <v>#REF!</v>
      </c>
    </row>
    <row r="29" spans="1:15" ht="21.75" customHeight="1">
      <c r="A29" s="139" t="e">
        <f>F29+0.0001*G29+0.0000001*E29+0.0000000001*D29</f>
        <v>#REF!</v>
      </c>
      <c r="B29" s="135" t="e">
        <f>'M Q'!#REF!</f>
        <v>#REF!</v>
      </c>
      <c r="C29" s="134" t="e">
        <f>'M Q'!#REF!</f>
        <v>#REF!</v>
      </c>
      <c r="D29" s="134" t="e">
        <f>'M Q'!#REF!</f>
        <v>#REF!</v>
      </c>
      <c r="E29" s="134" t="e">
        <f>'M Q'!#REF!</f>
        <v>#REF!</v>
      </c>
      <c r="F29" s="134" t="e">
        <f>'M Q'!#REF!</f>
        <v>#REF!</v>
      </c>
      <c r="G29" s="134" t="e">
        <f>'M Q'!#REF!</f>
        <v>#REF!</v>
      </c>
      <c r="H29" s="136"/>
      <c r="I29" s="139" t="e">
        <f>N29+0.0001*O29+0.0000001*M29+0.0000000001*L29</f>
        <v>#REF!</v>
      </c>
      <c r="J29" s="135" t="e">
        <f>'M Q'!#REF!</f>
        <v>#REF!</v>
      </c>
      <c r="K29" s="135" t="e">
        <f>'M Q'!#REF!</f>
        <v>#REF!</v>
      </c>
      <c r="L29" s="135" t="e">
        <f>'M Q'!#REF!</f>
        <v>#REF!</v>
      </c>
      <c r="M29" s="135" t="e">
        <f>'M Q'!#REF!</f>
        <v>#REF!</v>
      </c>
      <c r="N29" s="135" t="e">
        <f>'M Q'!#REF!</f>
        <v>#REF!</v>
      </c>
      <c r="O29" s="135" t="e">
        <f>'M Q'!#REF!</f>
        <v>#REF!</v>
      </c>
    </row>
    <row r="30" spans="1:15" ht="21.75" customHeight="1">
      <c r="A30" s="139" t="e">
        <f>F30+0.0001*G30+0.0000001*E30+0.0000000001*D30</f>
        <v>#REF!</v>
      </c>
      <c r="B30" s="135" t="e">
        <f>'M Q'!#REF!</f>
        <v>#REF!</v>
      </c>
      <c r="C30" s="134" t="e">
        <f>'M Q'!#REF!</f>
        <v>#REF!</v>
      </c>
      <c r="D30" s="134" t="e">
        <f>'M Q'!#REF!</f>
        <v>#REF!</v>
      </c>
      <c r="E30" s="134" t="e">
        <f>'M Q'!#REF!</f>
        <v>#REF!</v>
      </c>
      <c r="F30" s="134" t="e">
        <f>'M Q'!#REF!</f>
        <v>#REF!</v>
      </c>
      <c r="G30" s="134" t="e">
        <f>'M Q'!#REF!</f>
        <v>#REF!</v>
      </c>
      <c r="H30" s="136"/>
      <c r="I30" s="139" t="e">
        <f>N30+0.0001*O30+0.0000001*M30+0.0000000001*L30</f>
        <v>#REF!</v>
      </c>
      <c r="J30" s="135" t="e">
        <f>'M Q'!#REF!</f>
        <v>#REF!</v>
      </c>
      <c r="K30" s="135" t="e">
        <f>'M Q'!#REF!</f>
        <v>#REF!</v>
      </c>
      <c r="L30" s="135" t="e">
        <f>'M Q'!#REF!</f>
        <v>#REF!</v>
      </c>
      <c r="M30" s="135" t="e">
        <f>'M Q'!#REF!</f>
        <v>#REF!</v>
      </c>
      <c r="N30" s="135" t="e">
        <f>'M Q'!#REF!</f>
        <v>#REF!</v>
      </c>
      <c r="O30" s="135" t="e">
        <f>'M Q'!#REF!</f>
        <v>#REF!</v>
      </c>
    </row>
    <row r="31" spans="1:15" ht="21.75" customHeight="1">
      <c r="A31" s="139" t="e">
        <f>F31+0.0001*G31+0.0000001*E31+0.0000000001*D31</f>
        <v>#REF!</v>
      </c>
      <c r="B31" s="135" t="e">
        <f>'M Q'!#REF!</f>
        <v>#REF!</v>
      </c>
      <c r="C31" s="134" t="e">
        <f>'M Q'!#REF!</f>
        <v>#REF!</v>
      </c>
      <c r="D31" s="134" t="e">
        <f>'M Q'!#REF!</f>
        <v>#REF!</v>
      </c>
      <c r="E31" s="134" t="e">
        <f>'M Q'!#REF!</f>
        <v>#REF!</v>
      </c>
      <c r="F31" s="134" t="e">
        <f>'M Q'!#REF!</f>
        <v>#REF!</v>
      </c>
      <c r="G31" s="134" t="e">
        <f>'M Q'!#REF!</f>
        <v>#REF!</v>
      </c>
      <c r="H31" s="136"/>
      <c r="I31" s="139" t="e">
        <f>N31+0.0001*O31+0.0000001*M31+0.0000000001*L31</f>
        <v>#REF!</v>
      </c>
      <c r="J31" s="135" t="e">
        <f>'M Q'!#REF!</f>
        <v>#REF!</v>
      </c>
      <c r="K31" s="135" t="e">
        <f>'M Q'!#REF!</f>
        <v>#REF!</v>
      </c>
      <c r="L31" s="135" t="e">
        <f>'M Q'!#REF!</f>
        <v>#REF!</v>
      </c>
      <c r="M31" s="135" t="e">
        <f>'M Q'!#REF!</f>
        <v>#REF!</v>
      </c>
      <c r="N31" s="135" t="e">
        <f>'M Q'!#REF!</f>
        <v>#REF!</v>
      </c>
      <c r="O31" s="135" t="e">
        <f>'M Q'!#REF!</f>
        <v>#REF!</v>
      </c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80" zoomScaleNormal="80" zoomScaleSheetLayoutView="100" workbookViewId="0" topLeftCell="A1">
      <selection activeCell="B6" sqref="B6"/>
    </sheetView>
  </sheetViews>
  <sheetFormatPr defaultColWidth="8.00390625" defaultRowHeight="12.75"/>
  <cols>
    <col min="1" max="1" width="17.421875" style="142" customWidth="1"/>
    <col min="2" max="2" width="29.421875" style="143" customWidth="1"/>
    <col min="3" max="5" width="12.421875" style="143" customWidth="1"/>
    <col min="6" max="6" width="9.57421875" style="143" customWidth="1"/>
    <col min="7" max="7" width="4.28125" style="143" customWidth="1"/>
    <col min="8" max="8" width="29.421875" style="143" customWidth="1"/>
    <col min="9" max="11" width="12.28125" style="143" customWidth="1"/>
    <col min="12" max="12" width="9.57421875" style="143" customWidth="1"/>
    <col min="13" max="13" width="6.57421875" style="143" customWidth="1"/>
    <col min="14" max="16384" width="7.8515625" style="143" customWidth="1"/>
  </cols>
  <sheetData>
    <row r="1" spans="1:14" ht="49.5" customHeight="1">
      <c r="A1" s="144"/>
      <c r="B1" s="145" t="s">
        <v>54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46"/>
    </row>
    <row r="2" spans="1:13" ht="21.75" customHeight="1">
      <c r="A2" s="147"/>
      <c r="B2" s="148" t="s">
        <v>47</v>
      </c>
      <c r="C2" s="149" t="str">
        <f>'Clb Q (2)'!C1</f>
        <v>USST CHARLEVILLE</v>
      </c>
      <c r="D2" s="149"/>
      <c r="E2" s="149"/>
      <c r="F2" s="150">
        <f>'Clb Q (2)'!F1</f>
        <v>1319</v>
      </c>
      <c r="G2" s="151"/>
      <c r="H2" s="152">
        <f>IF(INFO!B8&gt;7,"CLUB N°8","")</f>
      </c>
      <c r="I2" s="153">
        <f>IF(INFO!B8&gt;7,'Clb Q (2)'!K1,"")</f>
      </c>
      <c r="J2" s="153"/>
      <c r="K2" s="153"/>
      <c r="L2" s="154">
        <f>IF(INFO!B8&gt;7,'Clb Q (2)'!N1,"")</f>
      </c>
      <c r="M2" s="151"/>
    </row>
    <row r="3" spans="1:13" ht="21.75" customHeight="1">
      <c r="A3" s="155"/>
      <c r="B3" s="156" t="s">
        <v>48</v>
      </c>
      <c r="C3" s="157" t="s">
        <v>49</v>
      </c>
      <c r="D3" s="158" t="s">
        <v>50</v>
      </c>
      <c r="E3" s="159" t="s">
        <v>51</v>
      </c>
      <c r="F3" s="152" t="s">
        <v>52</v>
      </c>
      <c r="G3" s="151"/>
      <c r="H3" s="152" t="s">
        <v>48</v>
      </c>
      <c r="I3" s="160" t="s">
        <v>49</v>
      </c>
      <c r="J3" s="161" t="s">
        <v>50</v>
      </c>
      <c r="K3" s="162" t="s">
        <v>51</v>
      </c>
      <c r="L3" s="152" t="s">
        <v>52</v>
      </c>
      <c r="M3" s="151"/>
    </row>
    <row r="4" spans="1:13" ht="21.75" customHeight="1">
      <c r="A4" s="155"/>
      <c r="B4" s="163" t="str">
        <f>VLOOKUP(F4,'Clb Q (2)'!A$3:G$7,2,0)</f>
        <v>CLAISSE Didier</v>
      </c>
      <c r="C4" s="164">
        <f>VLOOKUP(F4,'Clb Q (2)'!A$3:G$7,3,0)</f>
        <v>86</v>
      </c>
      <c r="D4" s="165">
        <f>VLOOKUP(F4,'Clb Q (2)'!A$3:G$7,4,0)</f>
        <v>90</v>
      </c>
      <c r="E4" s="166">
        <f>VLOOKUP(F4,'Clb Q (2)'!A$3:G$7,5,0)</f>
        <v>92</v>
      </c>
      <c r="F4" s="167">
        <f>LARGE('Clb Q (2)'!A$3:A$7,1)</f>
        <v>268.00000920900004</v>
      </c>
      <c r="G4" s="151"/>
      <c r="H4" s="167">
        <f>IF(INFO!B$8&gt;7,VLOOKUP(L4,'Clb Q (2)'!I$3:O$7,2,0),"")</f>
      </c>
      <c r="I4" s="168">
        <f>IF(INFO!B$8&gt;7,VLOOKUP(L4,'Clb Q (2)'!I$3:O$7,3,0),"")</f>
      </c>
      <c r="J4" s="169">
        <f>IF(INFO!B$8&gt;7,VLOOKUP(L4,'Clb Q (2)'!I$3:O$7,4,0),"")</f>
      </c>
      <c r="K4" s="170">
        <f>IF(INFO!B$8&gt;7,VLOOKUP(L4,'Clb Q (2)'!I$3:O$7,5,0),"")</f>
      </c>
      <c r="L4" s="167">
        <f>IF(INFO!B$8&gt;7,LARGE('Clb Q (2)'!I$3:I$7,1),"")</f>
      </c>
      <c r="M4" s="151"/>
    </row>
    <row r="5" spans="1:13" ht="21.75" customHeight="1">
      <c r="A5" s="155"/>
      <c r="B5" s="163" t="s">
        <v>41</v>
      </c>
      <c r="C5" s="164">
        <f>VLOOKUP(F5,'Clb Q (2)'!A$3:G$7,3,0)</f>
        <v>88</v>
      </c>
      <c r="D5" s="165">
        <f>VLOOKUP(F5,'Clb Q (2)'!A$3:G$7,4,0)</f>
        <v>90</v>
      </c>
      <c r="E5" s="166">
        <f>VLOOKUP(F5,'Clb Q (2)'!A$3:G$7,5,0)</f>
        <v>90</v>
      </c>
      <c r="F5" s="167">
        <f>LARGE('Clb Q (2)'!A$3:A$7,2)</f>
        <v>268.000009009</v>
      </c>
      <c r="G5" s="151"/>
      <c r="H5" s="167">
        <f>IF(INFO!B$8&gt;7,VLOOKUP(L5,'Clb Q (2)'!I$3:O$7,2,0),"")</f>
      </c>
      <c r="I5" s="168">
        <f>IF(INFO!B$8&gt;7,VLOOKUP(L5,'Clb Q (2)'!I$3:O$7,3,0),"")</f>
      </c>
      <c r="J5" s="169">
        <f>IF(INFO!B$8&gt;7,VLOOKUP(L5,'Clb Q (2)'!I$3:O$7,4,0),"")</f>
      </c>
      <c r="K5" s="170">
        <f>IF(INFO!B$8&gt;7,VLOOKUP(L5,'Clb Q (2)'!I$3:O$7,5,0),"")</f>
      </c>
      <c r="L5" s="167">
        <f>IF(INFO!B$8&gt;7,LARGE('Clb Q (2)'!I$3:I$7,2),"")</f>
      </c>
      <c r="M5" s="151"/>
    </row>
    <row r="6" spans="1:13" ht="21.75" customHeight="1">
      <c r="A6" s="155"/>
      <c r="B6" s="163" t="s">
        <v>40</v>
      </c>
      <c r="C6" s="164">
        <f>VLOOKUP(F6,'Clb Q (2)'!A$3:G$7,3,0)</f>
        <v>90</v>
      </c>
      <c r="D6" s="165">
        <f>VLOOKUP(F6,'Clb Q (2)'!A$3:G$7,4,0)</f>
        <v>90</v>
      </c>
      <c r="E6" s="166">
        <f>VLOOKUP(F6,'Clb Q (2)'!A$3:G$7,5,0)</f>
        <v>86</v>
      </c>
      <c r="F6" s="167">
        <f>LARGE('Clb Q (2)'!A$3:A$7,3)</f>
        <v>266.000008609</v>
      </c>
      <c r="G6" s="151"/>
      <c r="H6" s="167">
        <f>IF(INFO!B$8&gt;7,VLOOKUP(L6,'Clb Q (2)'!I$3:O$7,2,0),"")</f>
      </c>
      <c r="I6" s="168">
        <f>IF(INFO!B$8&gt;7,VLOOKUP(L6,'Clb Q (2)'!I$3:O$7,3,0),"")</f>
      </c>
      <c r="J6" s="169">
        <f>IF(INFO!B$8&gt;7,VLOOKUP(L6,'Clb Q (2)'!I$3:O$7,4,0),"")</f>
      </c>
      <c r="K6" s="170">
        <f>IF(INFO!B$8&gt;7,VLOOKUP(L6,'Clb Q (2)'!I$3:O$7,5,0),"")</f>
      </c>
      <c r="L6" s="167">
        <f>IF(INFO!B$8&gt;7,LARGE('Clb Q (2)'!I$3:I$7,3),"")</f>
      </c>
      <c r="M6" s="151"/>
    </row>
    <row r="7" spans="1:13" ht="21.75" customHeight="1">
      <c r="A7" s="155"/>
      <c r="B7" s="171" t="s">
        <v>44</v>
      </c>
      <c r="C7" s="164">
        <f>VLOOKUP(F7,'Clb Q (2)'!A$3:G$7,3,0)</f>
        <v>80</v>
      </c>
      <c r="D7" s="165">
        <f>VLOOKUP(F7,'Clb Q (2)'!A$3:G$7,4,0)</f>
        <v>92</v>
      </c>
      <c r="E7" s="166">
        <f>VLOOKUP(F7,'Clb Q (2)'!A$3:G$7,5,0)</f>
        <v>91</v>
      </c>
      <c r="F7" s="167">
        <f>LARGE('Clb Q (2)'!A$3:A$7,4)</f>
        <v>263.0000091092</v>
      </c>
      <c r="G7" s="151"/>
      <c r="H7" s="167">
        <f>IF(INFO!B$8&gt;7,VLOOKUP(L7,'Clb Q (2)'!I$3:O$7,2,0),"")</f>
      </c>
      <c r="I7" s="168">
        <f>IF(INFO!B$8&gt;7,VLOOKUP(L7,'Clb Q (2)'!I$3:O$7,3,0),"")</f>
      </c>
      <c r="J7" s="169">
        <f>IF(INFO!B$8&gt;7,VLOOKUP(L7,'Clb Q (2)'!I$3:O$7,4,0),"")</f>
      </c>
      <c r="K7" s="170">
        <f>IF(INFO!B$8&gt;7,VLOOKUP(L7,'Clb Q (2)'!I$3:O$7,5,0),"")</f>
      </c>
      <c r="L7" s="167">
        <f>IF(INFO!B$8&gt;7,LARGE('Clb Q (2)'!I$3:I$7,4),"")</f>
      </c>
      <c r="M7" s="151"/>
    </row>
    <row r="8" spans="1:13" ht="21.75" customHeight="1">
      <c r="A8" s="155"/>
      <c r="B8" s="171" t="s">
        <v>43</v>
      </c>
      <c r="C8" s="153">
        <f>VLOOKUP(F8,'Clb Q (2)'!A$3:G$7,3,0)</f>
        <v>87</v>
      </c>
      <c r="D8" s="172">
        <f>VLOOKUP(F8,'Clb Q (2)'!A$3:G$7,4,0)</f>
        <v>81</v>
      </c>
      <c r="E8" s="173">
        <f>VLOOKUP(F8,'Clb Q (2)'!A$3:G$7,5,0)</f>
        <v>86</v>
      </c>
      <c r="F8" s="174">
        <f>LARGE('Clb Q (2)'!A$3:A$7,5)</f>
        <v>254.0000086081</v>
      </c>
      <c r="G8" s="151"/>
      <c r="H8" s="174">
        <f>IF(INFO!B$8&gt;7,VLOOKUP(L8,'Clb Q (2)'!I$3:O$7,2,0),"")</f>
      </c>
      <c r="I8" s="153">
        <f>IF(INFO!B$8&gt;7,VLOOKUP(L8,'Clb Q (2)'!I$3:O$7,3,0),"")</f>
      </c>
      <c r="J8" s="175">
        <f>IF(INFO!B$8&gt;7,VLOOKUP(L8,'Clb Q (2)'!I$3:O$7,4,0),"")</f>
      </c>
      <c r="K8" s="176">
        <f>IF(INFO!B$8&gt;7,VLOOKUP(L8,'Clb Q (2)'!I$3:O$7,5,0),"")</f>
      </c>
      <c r="L8" s="174">
        <f>IF(INFO!B$8&gt;7,LARGE('Clb Q (2)'!I$3:I$7,5),"")</f>
      </c>
      <c r="M8" s="151"/>
    </row>
    <row r="9" spans="1:13" ht="21.75" customHeight="1">
      <c r="A9" s="177"/>
      <c r="B9" s="178"/>
      <c r="C9" s="151"/>
      <c r="D9" s="151"/>
      <c r="E9" s="151"/>
      <c r="F9" s="179"/>
      <c r="G9" s="151"/>
      <c r="H9" s="179"/>
      <c r="I9" s="151"/>
      <c r="J9" s="151"/>
      <c r="K9" s="151"/>
      <c r="L9" s="179"/>
      <c r="M9" s="151"/>
    </row>
    <row r="10" spans="1:13" ht="21.75" customHeight="1">
      <c r="A10" s="177"/>
      <c r="B10" s="152" t="s">
        <v>53</v>
      </c>
      <c r="C10" s="153">
        <f>'Clb Q (2)'!C9</f>
        <v>0</v>
      </c>
      <c r="D10" s="153"/>
      <c r="E10" s="153"/>
      <c r="F10" s="154">
        <f>'Clb Q (2)'!F9</f>
        <v>0</v>
      </c>
      <c r="G10" s="151"/>
      <c r="H10" s="152">
        <f>IF(INFO!B8&gt;6,"CLUB N°7","")</f>
      </c>
      <c r="I10" s="153">
        <f>IF(INFO!B8&gt;6,'Clb Q (2)'!K9,"")</f>
      </c>
      <c r="J10" s="153"/>
      <c r="K10" s="153"/>
      <c r="L10" s="154">
        <f>IF(INFO!B8&gt;6,'Clb Q (2)'!N9,"")</f>
      </c>
      <c r="M10" s="151"/>
    </row>
    <row r="11" spans="1:13" ht="21.75" customHeight="1">
      <c r="A11" s="180"/>
      <c r="B11" s="152" t="s">
        <v>48</v>
      </c>
      <c r="C11" s="160" t="s">
        <v>49</v>
      </c>
      <c r="D11" s="161" t="s">
        <v>50</v>
      </c>
      <c r="E11" s="162" t="s">
        <v>51</v>
      </c>
      <c r="F11" s="152" t="s">
        <v>52</v>
      </c>
      <c r="G11" s="151"/>
      <c r="H11" s="152" t="s">
        <v>48</v>
      </c>
      <c r="I11" s="160" t="s">
        <v>49</v>
      </c>
      <c r="J11" s="161" t="s">
        <v>50</v>
      </c>
      <c r="K11" s="162" t="s">
        <v>51</v>
      </c>
      <c r="L11" s="152" t="s">
        <v>52</v>
      </c>
      <c r="M11" s="151"/>
    </row>
    <row r="12" spans="1:13" ht="21.75" customHeight="1">
      <c r="A12" s="180"/>
      <c r="B12" s="181">
        <f>VLOOKUP(F12,'Clb Q (2)'!A$11:G$15,2,0)</f>
        <v>0</v>
      </c>
      <c r="C12" s="168">
        <f>VLOOKUP(F12,'Clb Q (2)'!A$11:G$15,3,0)</f>
        <v>0</v>
      </c>
      <c r="D12" s="169">
        <f>VLOOKUP(F12,'Clb Q (2)'!A$11:G$15,4,0)</f>
        <v>0</v>
      </c>
      <c r="E12" s="170">
        <f>VLOOKUP(F12,'Clb Q (2)'!A$11:G$15,5,0)</f>
        <v>0</v>
      </c>
      <c r="F12" s="167">
        <f>LARGE('Clb Q (2)'!A$11:A$15,1)</f>
        <v>0</v>
      </c>
      <c r="G12" s="151"/>
      <c r="H12" s="167">
        <f>IF(INFO!B$8&gt;6,VLOOKUP(L12,'Clb Q (2)'!I$11:O$15,2,0),"")</f>
      </c>
      <c r="I12" s="168">
        <f>IF(INFO!B$8&gt;6,VLOOKUP(L12,'Clb Q (2)'!I$11:O$15,3,0),"")</f>
      </c>
      <c r="J12" s="169">
        <f>IF(INFO!B$8&gt;6,VLOOKUP(L12,'Clb Q (2)'!I$11:O$15,4,0),"")</f>
      </c>
      <c r="K12" s="170">
        <f>IF(INFO!B$8&gt;6,VLOOKUP(L12,'Clb Q (2)'!I$11:O$15,5,0),"")</f>
      </c>
      <c r="L12" s="167">
        <f>IF(INFO!B$8&gt;6,LARGE('Clb Q (2)'!I$11:I$15,1),"")</f>
      </c>
      <c r="M12" s="151"/>
    </row>
    <row r="13" spans="1:13" ht="21.75" customHeight="1">
      <c r="A13" s="180"/>
      <c r="B13" s="167">
        <f>VLOOKUP(F13,'Clb Q (2)'!A$11:G$15,2,0)</f>
        <v>0</v>
      </c>
      <c r="C13" s="168">
        <f>VLOOKUP(F13,'Clb Q (2)'!A$11:G$15,3,0)</f>
        <v>0</v>
      </c>
      <c r="D13" s="169">
        <f>VLOOKUP(F13,'Clb Q (2)'!A$11:G$15,4,0)</f>
        <v>0</v>
      </c>
      <c r="E13" s="170">
        <f>VLOOKUP(F13,'Clb Q (2)'!A$11:G$15,5,0)</f>
        <v>0</v>
      </c>
      <c r="F13" s="167">
        <f>LARGE('Clb Q (2)'!A$11:A$15,2)</f>
        <v>0</v>
      </c>
      <c r="G13" s="151"/>
      <c r="H13" s="167">
        <f>IF(INFO!B$8&gt;6,VLOOKUP(L13,'Clb Q (2)'!I$11:O$15,2,0),"")</f>
      </c>
      <c r="I13" s="168">
        <f>IF(INFO!B$8&gt;6,VLOOKUP(L13,'Clb Q (2)'!I$11:O$15,3,0),"")</f>
      </c>
      <c r="J13" s="169">
        <f>IF(INFO!B$8&gt;6,VLOOKUP(L13,'Clb Q (2)'!I$11:O$15,4,0),"")</f>
      </c>
      <c r="K13" s="170">
        <f>IF(INFO!B$8&gt;6,VLOOKUP(L13,'Clb Q (2)'!I$11:O$15,5,0),"")</f>
      </c>
      <c r="L13" s="167">
        <f>IF(INFO!B$8&gt;6,LARGE('Clb Q (2)'!I$11:I$15,2),"")</f>
      </c>
      <c r="M13" s="151"/>
    </row>
    <row r="14" spans="1:13" ht="21.75" customHeight="1">
      <c r="A14" s="180"/>
      <c r="B14" s="167">
        <f>VLOOKUP(F14,'Clb Q (2)'!A$11:G$15,2,0)</f>
        <v>0</v>
      </c>
      <c r="C14" s="168">
        <f>VLOOKUP(F14,'Clb Q (2)'!A$11:G$15,3,0)</f>
        <v>0</v>
      </c>
      <c r="D14" s="169">
        <f>VLOOKUP(F14,'Clb Q (2)'!A$11:G$15,4,0)</f>
        <v>0</v>
      </c>
      <c r="E14" s="170">
        <f>VLOOKUP(F14,'Clb Q (2)'!A$11:G$15,5,0)</f>
        <v>0</v>
      </c>
      <c r="F14" s="167">
        <f>LARGE('Clb Q (2)'!A$11:A$15,3)</f>
        <v>0</v>
      </c>
      <c r="G14" s="151"/>
      <c r="H14" s="167">
        <f>IF(INFO!B$8&gt;6,VLOOKUP(L14,'Clb Q (2)'!I$11:O$15,2,0),"")</f>
      </c>
      <c r="I14" s="168">
        <f>IF(INFO!B$8&gt;6,VLOOKUP(L14,'Clb Q (2)'!I$11:O$15,3,0),"")</f>
      </c>
      <c r="J14" s="169">
        <f>IF(INFO!B$8&gt;6,VLOOKUP(L14,'Clb Q (2)'!I$11:O$15,4,0),"")</f>
      </c>
      <c r="K14" s="170">
        <f>IF(INFO!B$8&gt;6,VLOOKUP(L14,'Clb Q (2)'!I$11:O$15,5,0),"")</f>
      </c>
      <c r="L14" s="167">
        <f>IF(INFO!B$8&gt;6,LARGE('Clb Q (2)'!I$11:I$15,3),"")</f>
      </c>
      <c r="M14" s="151"/>
    </row>
    <row r="15" spans="1:13" ht="21.75" customHeight="1">
      <c r="A15" s="180"/>
      <c r="B15" s="167">
        <f>VLOOKUP(F15,'Clb Q (2)'!A$11:G$15,2,0)</f>
        <v>0</v>
      </c>
      <c r="C15" s="168">
        <f>VLOOKUP(F15,'Clb Q (2)'!A$11:G$15,3,0)</f>
        <v>0</v>
      </c>
      <c r="D15" s="169">
        <f>VLOOKUP(F15,'Clb Q (2)'!A$11:G$15,4,0)</f>
        <v>0</v>
      </c>
      <c r="E15" s="170">
        <f>VLOOKUP(F15,'Clb Q (2)'!A$11:G$15,5,0)</f>
        <v>0</v>
      </c>
      <c r="F15" s="167">
        <f>LARGE('Clb Q (2)'!A$11:A$15,4)</f>
        <v>0</v>
      </c>
      <c r="G15" s="151"/>
      <c r="H15" s="167">
        <f>IF(INFO!B$8&gt;6,VLOOKUP(L15,'Clb Q (2)'!I$11:O$15,2,0),"")</f>
      </c>
      <c r="I15" s="168">
        <f>IF(INFO!B$8&gt;6,VLOOKUP(L15,'Clb Q (2)'!I$11:O$15,3,0),"")</f>
      </c>
      <c r="J15" s="169">
        <f>IF(INFO!B$8&gt;6,VLOOKUP(L15,'Clb Q (2)'!I$11:O$15,4,0),"")</f>
      </c>
      <c r="K15" s="170">
        <f>IF(INFO!B$8&gt;6,VLOOKUP(L15,'Clb Q (2)'!I$11:O$15,5,0),"")</f>
      </c>
      <c r="L15" s="167">
        <f>IF(INFO!B$8&gt;6,LARGE('Clb Q (2)'!I$11:I$15,4),"")</f>
      </c>
      <c r="M15" s="151"/>
    </row>
    <row r="16" spans="1:13" ht="21.75" customHeight="1">
      <c r="A16" s="180"/>
      <c r="B16" s="174">
        <f>VLOOKUP(F16,'Clb Q (2)'!A$11:G$15,2,0)</f>
        <v>0</v>
      </c>
      <c r="C16" s="153">
        <f>VLOOKUP(F16,'Clb Q (2)'!A$11:G$15,3,0)</f>
        <v>0</v>
      </c>
      <c r="D16" s="175">
        <f>VLOOKUP(F16,'Clb Q (2)'!A$11:G$15,4,0)</f>
        <v>0</v>
      </c>
      <c r="E16" s="176">
        <f>VLOOKUP(F16,'Clb Q (2)'!A$11:G$15,5,0)</f>
        <v>0</v>
      </c>
      <c r="F16" s="174">
        <f>LARGE('Clb Q (2)'!A$11:A$15,5)</f>
        <v>0</v>
      </c>
      <c r="G16" s="151"/>
      <c r="H16" s="174">
        <f>IF(INFO!B$8&gt;6,VLOOKUP(L16,'Clb Q (2)'!I$11:O$15,2,0),"")</f>
      </c>
      <c r="I16" s="153">
        <f>IF(INFO!B$8&gt;6,VLOOKUP(L16,'Clb Q (2)'!I$11:O$15,3,0),"")</f>
      </c>
      <c r="J16" s="175">
        <f>IF(INFO!B$8&gt;6,VLOOKUP(L16,'Clb Q (2)'!I$11:O$15,4,0),"")</f>
      </c>
      <c r="K16" s="176">
        <f>IF(INFO!B$8&gt;6,VLOOKUP(L16,'Clb Q (2)'!I$11:O$15,5,0),"")</f>
      </c>
      <c r="L16" s="174">
        <f>IF(INFO!B$8&gt;6,LARGE('Clb Q (2)'!I$11:I$15,5),"")</f>
      </c>
      <c r="M16" s="151"/>
    </row>
    <row r="17" spans="1:13" ht="21.75" customHeight="1">
      <c r="A17" s="182"/>
      <c r="B17" s="179"/>
      <c r="C17" s="151"/>
      <c r="D17" s="151"/>
      <c r="E17" s="151"/>
      <c r="F17" s="179"/>
      <c r="G17" s="151"/>
      <c r="H17" s="179"/>
      <c r="I17" s="151"/>
      <c r="J17" s="151"/>
      <c r="K17" s="151"/>
      <c r="L17" s="179"/>
      <c r="M17" s="151"/>
    </row>
    <row r="18" spans="1:13" ht="21.75" customHeight="1">
      <c r="A18" s="182"/>
      <c r="B18" s="152">
        <f>IF(INFO!B8&gt;2,"CLUB N°3","")</f>
      </c>
      <c r="C18" s="153">
        <f>IF(INFO!B8&gt;2,'Clb Q (2)'!C17,"")</f>
      </c>
      <c r="D18" s="153"/>
      <c r="E18" s="153"/>
      <c r="F18" s="154">
        <f>IF(INFO!B8&gt;2,'Clb Q (2)'!F17,"")</f>
      </c>
      <c r="G18" s="151"/>
      <c r="H18" s="152">
        <f>IF(INFO!B8&gt;5,"CLUB N°6","")</f>
      </c>
      <c r="I18" s="153">
        <f>IF(INFO!B8&gt;5,'Clb Q (2)'!K17,"")</f>
      </c>
      <c r="J18" s="153"/>
      <c r="K18" s="153"/>
      <c r="L18" s="154">
        <f>IF(INFO!B8&gt;5,'Clb Q (2)'!N17,"")</f>
      </c>
      <c r="M18" s="151"/>
    </row>
    <row r="19" spans="1:13" ht="21.75" customHeight="1">
      <c r="A19" s="180"/>
      <c r="B19" s="152" t="s">
        <v>48</v>
      </c>
      <c r="C19" s="160" t="s">
        <v>49</v>
      </c>
      <c r="D19" s="161" t="s">
        <v>50</v>
      </c>
      <c r="E19" s="162" t="s">
        <v>51</v>
      </c>
      <c r="F19" s="152" t="s">
        <v>52</v>
      </c>
      <c r="G19" s="151"/>
      <c r="H19" s="152" t="s">
        <v>48</v>
      </c>
      <c r="I19" s="160" t="s">
        <v>49</v>
      </c>
      <c r="J19" s="161" t="s">
        <v>50</v>
      </c>
      <c r="K19" s="162" t="s">
        <v>51</v>
      </c>
      <c r="L19" s="152" t="s">
        <v>52</v>
      </c>
      <c r="M19" s="151"/>
    </row>
    <row r="20" spans="1:13" ht="21.75" customHeight="1">
      <c r="A20" s="180"/>
      <c r="B20" s="167">
        <f>IF(INFO!B$8&gt;2,VLOOKUP(F20,'Clb Q (2)'!A$19:G$23,2,0),"")</f>
      </c>
      <c r="C20" s="168">
        <f>IF(INFO!B$8&gt;2,VLOOKUP(F20,'Clb Q (2)'!A$19:G$23,3,0),"")</f>
      </c>
      <c r="D20" s="169">
        <f>IF(INFO!B$8&gt;2,VLOOKUP(F20,'Clb Q (2)'!A$19:G$23,4,0),"")</f>
      </c>
      <c r="E20" s="170">
        <f>IF(INFO!B$8&gt;2,VLOOKUP(F20,'Clb Q (2)'!A$19:G$23,5,0),"")</f>
      </c>
      <c r="F20" s="167">
        <f>IF(INFO!B$8&gt;2,LARGE('Clb Q (2)'!A$19:A$23,1),"")</f>
      </c>
      <c r="G20" s="151"/>
      <c r="H20" s="167">
        <f>IF(INFO!B$8&gt;5,VLOOKUP(L20,'Clb Q (2)'!I$19:O$23,2,0),"")</f>
      </c>
      <c r="I20" s="168">
        <f>IF(INFO!B$8&gt;5,VLOOKUP(L20,'Clb Q (2)'!I$19:O$23,3,0),"")</f>
      </c>
      <c r="J20" s="169">
        <f>IF(INFO!B$8&gt;5,VLOOKUP(L20,'Clb Q (2)'!I$19:O$23,4,0),"")</f>
      </c>
      <c r="K20" s="170">
        <f>IF(INFO!B$8&gt;5,VLOOKUP(L20,'Clb Q (2)'!I$19:O$23,5,0),"")</f>
      </c>
      <c r="L20" s="167">
        <f>IF(INFO!B$8&gt;5,LARGE('Clb Q (2)'!I$19:I$23,1),"")</f>
      </c>
      <c r="M20" s="151"/>
    </row>
    <row r="21" spans="1:13" ht="21.75" customHeight="1">
      <c r="A21" s="180"/>
      <c r="B21" s="167">
        <f>IF(INFO!B$8&gt;2,VLOOKUP(F21,'Clb Q (2)'!A$19:G$23,2,0),"")</f>
      </c>
      <c r="C21" s="168">
        <f>IF(INFO!B$8&gt;2,VLOOKUP(F21,'Clb Q (2)'!A$19:G$23,3,0),"")</f>
      </c>
      <c r="D21" s="169">
        <f>IF(INFO!B$8&gt;2,VLOOKUP(F21,'Clb Q (2)'!A$19:G$23,4,0),"")</f>
      </c>
      <c r="E21" s="170">
        <f>IF(INFO!B$8&gt;2,VLOOKUP(F21,'Clb Q (2)'!A$19:G$23,5,0),"")</f>
      </c>
      <c r="F21" s="167">
        <f>IF(INFO!B$8&gt;2,LARGE('Clb Q (2)'!A$19:A$23,2),"")</f>
      </c>
      <c r="G21" s="151"/>
      <c r="H21" s="167">
        <f>IF(INFO!B$8&gt;5,VLOOKUP(L21,'Clb Q (2)'!I$19:O$23,2,0),"")</f>
      </c>
      <c r="I21" s="168">
        <f>IF(INFO!B$8&gt;5,VLOOKUP(L21,'Clb Q (2)'!I$19:O$23,3,0),"")</f>
      </c>
      <c r="J21" s="169">
        <f>IF(INFO!B$8&gt;5,VLOOKUP(L21,'Clb Q (2)'!I$19:O$23,4,0),"")</f>
      </c>
      <c r="K21" s="170">
        <f>IF(INFO!B$8&gt;5,VLOOKUP(L21,'Clb Q (2)'!I$19:O$23,5,0),"")</f>
      </c>
      <c r="L21" s="167">
        <f>IF(INFO!B$8&gt;5,LARGE('Clb Q (2)'!I$19:I$23,2),"")</f>
      </c>
      <c r="M21" s="151"/>
    </row>
    <row r="22" spans="1:13" ht="21.75" customHeight="1">
      <c r="A22" s="180"/>
      <c r="B22" s="167">
        <f>IF(INFO!B$8&gt;2,VLOOKUP(F22,'Clb Q (2)'!A$19:G$23,2,0),"")</f>
      </c>
      <c r="C22" s="168">
        <f>IF(INFO!B$8&gt;2,VLOOKUP(F22,'Clb Q (2)'!A$19:G$23,3,0),"")</f>
      </c>
      <c r="D22" s="169">
        <f>IF(INFO!B$8&gt;2,VLOOKUP(F22,'Clb Q (2)'!A$19:G$23,4,0),"")</f>
      </c>
      <c r="E22" s="170">
        <f>IF(INFO!B$8&gt;2,VLOOKUP(F22,'Clb Q (2)'!A$19:G$23,5,0),"")</f>
      </c>
      <c r="F22" s="167">
        <f>IF(INFO!B$8&gt;2,LARGE('Clb Q (2)'!A$19:A$23,3),"")</f>
      </c>
      <c r="G22" s="151"/>
      <c r="H22" s="167">
        <f>IF(INFO!B$8&gt;5,VLOOKUP(L22,'Clb Q (2)'!I$19:O$23,2,0),"")</f>
      </c>
      <c r="I22" s="168">
        <f>IF(INFO!B$8&gt;5,VLOOKUP(L22,'Clb Q (2)'!I$19:O$23,3,0),"")</f>
      </c>
      <c r="J22" s="169">
        <f>IF(INFO!B$8&gt;5,VLOOKUP(L22,'Clb Q (2)'!I$19:O$23,4,0),"")</f>
      </c>
      <c r="K22" s="170">
        <f>IF(INFO!B$8&gt;5,VLOOKUP(L22,'Clb Q (2)'!I$19:O$23,5,0),"")</f>
      </c>
      <c r="L22" s="167">
        <f>IF(INFO!B$8&gt;5,LARGE('Clb Q (2)'!I$19:I$23,3),"")</f>
      </c>
      <c r="M22" s="151"/>
    </row>
    <row r="23" spans="1:13" ht="21.75" customHeight="1">
      <c r="A23" s="180"/>
      <c r="B23" s="167">
        <f>IF(INFO!B$8&gt;2,VLOOKUP(F23,'Clb Q (2)'!A$19:G$23,2,0),"")</f>
      </c>
      <c r="C23" s="168">
        <f>IF(INFO!B$8&gt;2,VLOOKUP(F23,'Clb Q (2)'!A$19:G$23,3,0),"")</f>
      </c>
      <c r="D23" s="169">
        <f>IF(INFO!B$8&gt;2,VLOOKUP(F23,'Clb Q (2)'!A$19:G$23,4,0),"")</f>
      </c>
      <c r="E23" s="170">
        <f>IF(INFO!B$8&gt;2,VLOOKUP(F23,'Clb Q (2)'!A$19:G$23,5,0),"")</f>
      </c>
      <c r="F23" s="167">
        <f>IF(INFO!B$8&gt;2,LARGE('Clb Q (2)'!A$19:A$23,4),"")</f>
      </c>
      <c r="G23" s="151"/>
      <c r="H23" s="167">
        <f>IF(INFO!B$8&gt;5,VLOOKUP(L23,'Clb Q (2)'!I$19:O$23,2,0),"")</f>
      </c>
      <c r="I23" s="168">
        <f>IF(INFO!B$8&gt;5,VLOOKUP(L23,'Clb Q (2)'!I$19:O$23,3,0),"")</f>
      </c>
      <c r="J23" s="169">
        <f>IF(INFO!B$8&gt;5,VLOOKUP(L23,'Clb Q (2)'!I$19:O$23,4,0),"")</f>
      </c>
      <c r="K23" s="170">
        <f>IF(INFO!B$8&gt;5,VLOOKUP(L23,'Clb Q (2)'!I$19:O$23,5,0),"")</f>
      </c>
      <c r="L23" s="167">
        <f>IF(INFO!B$8&gt;5,LARGE('Clb Q (2)'!I$19:I$23,4),"")</f>
      </c>
      <c r="M23" s="151"/>
    </row>
    <row r="24" spans="1:13" ht="21.75" customHeight="1">
      <c r="A24" s="180"/>
      <c r="B24" s="174">
        <f>IF(INFO!B$8&gt;2,VLOOKUP(F24,'Clb Q (2)'!A$19:G$23,2,0),"")</f>
      </c>
      <c r="C24" s="153">
        <f>IF(INFO!B$8&gt;2,VLOOKUP(F24,'Clb Q (2)'!A$19:G$23,3,0),"")</f>
      </c>
      <c r="D24" s="175">
        <f>IF(INFO!B$8&gt;2,VLOOKUP(F24,'Clb Q (2)'!A$19:G$23,4,0),"")</f>
      </c>
      <c r="E24" s="176">
        <f>IF(INFO!B$8&gt;2,VLOOKUP(F24,'Clb Q (2)'!A$19:G$23,5,0),"")</f>
      </c>
      <c r="F24" s="174">
        <f>IF(INFO!B$8&gt;2,LARGE('Clb Q (2)'!A$19:A$23,5),"")</f>
      </c>
      <c r="G24" s="151"/>
      <c r="H24" s="174">
        <f>IF(INFO!B$8&gt;5,VLOOKUP(L24,'Clb Q (2)'!I$19:O$23,2,0),"")</f>
      </c>
      <c r="I24" s="153">
        <f>IF(INFO!B$8&gt;5,VLOOKUP(L24,'Clb Q (2)'!I$19:O$23,3,0),"")</f>
      </c>
      <c r="J24" s="175">
        <f>IF(INFO!B$8&gt;5,VLOOKUP(L24,'Clb Q (2)'!I$19:O$23,4,0),"")</f>
      </c>
      <c r="K24" s="176">
        <f>IF(INFO!B$8&gt;5,VLOOKUP(L24,'Clb Q (2)'!I$19:O$23,5,0),"")</f>
      </c>
      <c r="L24" s="174">
        <f>IF(INFO!B$8&gt;5,LARGE('Clb Q (2)'!I$19:I$23,5),"")</f>
      </c>
      <c r="M24" s="151"/>
    </row>
    <row r="25" spans="1:13" ht="21.75" customHeight="1">
      <c r="A25" s="182"/>
      <c r="B25" s="179"/>
      <c r="C25" s="151"/>
      <c r="D25" s="151"/>
      <c r="E25" s="151"/>
      <c r="F25" s="179"/>
      <c r="G25" s="151"/>
      <c r="H25" s="179"/>
      <c r="I25" s="151"/>
      <c r="J25" s="151"/>
      <c r="K25" s="151"/>
      <c r="L25" s="179"/>
      <c r="M25" s="151"/>
    </row>
    <row r="26" spans="1:13" ht="21.75" customHeight="1">
      <c r="A26" s="182"/>
      <c r="B26" s="152">
        <f>IF(INFO!B8&gt;3,"CLUB N°4","")</f>
      </c>
      <c r="C26" s="153">
        <f>IF(INFO!B8&gt;3,'Clb Q (2)'!C25,"")</f>
      </c>
      <c r="D26" s="153"/>
      <c r="E26" s="153"/>
      <c r="F26" s="154">
        <f>IF(INFO!B8&gt;3,'Clb Q (2)'!F25,"")</f>
      </c>
      <c r="G26" s="151"/>
      <c r="H26" s="152">
        <f>IF(INFO!B8&gt;4,"CLUB N°5","")</f>
      </c>
      <c r="I26" s="153">
        <f>IF(INFO!B8&gt;4,'Clb Q (2)'!K25,"")</f>
      </c>
      <c r="J26" s="153"/>
      <c r="K26" s="153"/>
      <c r="L26" s="154">
        <f>IF(INFO!B8&gt;4,'Clb Q (2)'!N25,"")</f>
      </c>
      <c r="M26" s="151"/>
    </row>
    <row r="27" spans="1:13" ht="21.75" customHeight="1">
      <c r="A27" s="180"/>
      <c r="B27" s="152" t="s">
        <v>48</v>
      </c>
      <c r="C27" s="160" t="s">
        <v>49</v>
      </c>
      <c r="D27" s="161" t="s">
        <v>50</v>
      </c>
      <c r="E27" s="162" t="s">
        <v>51</v>
      </c>
      <c r="F27" s="152" t="s">
        <v>52</v>
      </c>
      <c r="G27" s="151"/>
      <c r="H27" s="152" t="s">
        <v>48</v>
      </c>
      <c r="I27" s="160" t="s">
        <v>49</v>
      </c>
      <c r="J27" s="161" t="s">
        <v>50</v>
      </c>
      <c r="K27" s="162" t="s">
        <v>51</v>
      </c>
      <c r="L27" s="152" t="s">
        <v>52</v>
      </c>
      <c r="M27" s="151"/>
    </row>
    <row r="28" spans="1:13" ht="21.75" customHeight="1">
      <c r="A28" s="180"/>
      <c r="B28" s="167">
        <f>IF(INFO!B$8&gt;3,VLOOKUP(F28,'Clb Q (2)'!A$27:G$31,2,0),"")</f>
      </c>
      <c r="C28" s="168">
        <f>IF(INFO!B$8&gt;3,VLOOKUP(F28,'Clb Q (2)'!A$27:G$31,3,0),"")</f>
      </c>
      <c r="D28" s="169">
        <f>IF(INFO!B$8&gt;3,VLOOKUP(F28,'Clb Q (2)'!A$27:G$31,4,0),"")</f>
      </c>
      <c r="E28" s="170">
        <f>IF(INFO!B$8&gt;3,VLOOKUP(F28,'Clb Q (2)'!A$27:G$31,5,0),"")</f>
      </c>
      <c r="F28" s="167">
        <f>IF(INFO!B$8&gt;3,LARGE('Clb Q (2)'!A$27:A$31,1),"")</f>
      </c>
      <c r="G28" s="151"/>
      <c r="H28" s="167">
        <f>IF(INFO!B$8&gt;4,VLOOKUP(L28,'Clb Q (2)'!I$27:O$31,2,0),"")</f>
      </c>
      <c r="I28" s="168">
        <f>IF(INFO!B$8&gt;4,VLOOKUP(L28,'Clb Q (2)'!I$27:O$31,3,0),"")</f>
      </c>
      <c r="J28" s="169">
        <f>IF(INFO!B$8&gt;4,VLOOKUP(L28,'Clb Q (2)'!I$27:O$31,4,0),"")</f>
      </c>
      <c r="K28" s="170">
        <f>IF(INFO!B$8&gt;4,VLOOKUP(L28,'Clb Q (2)'!I$27:O$31,5,0),"")</f>
      </c>
      <c r="L28" s="167">
        <f>IF(INFO!B$8&gt;4,LARGE('Clb Q (2)'!I$27:I$31,1),"")</f>
      </c>
      <c r="M28" s="151"/>
    </row>
    <row r="29" spans="1:13" ht="21.75" customHeight="1">
      <c r="A29" s="180"/>
      <c r="B29" s="167">
        <f>IF(INFO!B$8&gt;3,VLOOKUP(F29,'Clb Q (2)'!A$27:G$31,2,0),"")</f>
      </c>
      <c r="C29" s="168">
        <f>IF(INFO!B$8&gt;3,VLOOKUP(F29,'Clb Q (2)'!A$27:G$31,3,0),"")</f>
      </c>
      <c r="D29" s="169">
        <f>IF(INFO!B$8&gt;3,VLOOKUP(F29,'Clb Q (2)'!A$27:G$31,4,0),"")</f>
      </c>
      <c r="E29" s="170">
        <f>IF(INFO!B$8&gt;3,VLOOKUP(F29,'Clb Q (2)'!A$27:G$31,5,0),"")</f>
      </c>
      <c r="F29" s="167">
        <f>IF(INFO!B$8&gt;3,LARGE('Clb Q (2)'!A$27:A$31,2),"")</f>
      </c>
      <c r="G29" s="151"/>
      <c r="H29" s="167">
        <f>IF(INFO!B$8&gt;4,VLOOKUP(L29,'Clb Q (2)'!I$27:O$31,2,0),"")</f>
      </c>
      <c r="I29" s="168">
        <f>IF(INFO!B$8&gt;4,VLOOKUP(L29,'Clb Q (2)'!I$27:O$31,3,0),"")</f>
      </c>
      <c r="J29" s="169">
        <f>IF(INFO!B$8&gt;4,VLOOKUP(L29,'Clb Q (2)'!I$27:O$31,4,0),"")</f>
      </c>
      <c r="K29" s="170">
        <f>IF(INFO!B$8&gt;4,VLOOKUP(L29,'Clb Q (2)'!I$27:O$31,5,0),"")</f>
      </c>
      <c r="L29" s="167">
        <f>IF(INFO!B$8&gt;4,LARGE('Clb Q (2)'!I$27:I$31,2),"")</f>
      </c>
      <c r="M29" s="151"/>
    </row>
    <row r="30" spans="1:13" ht="21.75" customHeight="1">
      <c r="A30" s="180"/>
      <c r="B30" s="167">
        <f>IF(INFO!B$8&gt;3,VLOOKUP(F30,'Clb Q (2)'!A$27:G$31,2,0),"")</f>
      </c>
      <c r="C30" s="168">
        <f>IF(INFO!B$8&gt;3,VLOOKUP(F30,'Clb Q (2)'!A$27:G$31,3,0),"")</f>
      </c>
      <c r="D30" s="169">
        <f>IF(INFO!B$8&gt;3,VLOOKUP(F30,'Clb Q (2)'!A$27:G$31,4,0),"")</f>
      </c>
      <c r="E30" s="170">
        <f>IF(INFO!B$8&gt;3,VLOOKUP(F30,'Clb Q (2)'!A$27:G$31,5,0),"")</f>
      </c>
      <c r="F30" s="167">
        <f>IF(INFO!B$8&gt;3,LARGE('Clb Q (2)'!A$27:A$31,3),"")</f>
      </c>
      <c r="G30" s="151"/>
      <c r="H30" s="167">
        <f>IF(INFO!B$8&gt;4,VLOOKUP(L30,'Clb Q (2)'!I$27:O$31,2,0),"")</f>
      </c>
      <c r="I30" s="168">
        <f>IF(INFO!B$8&gt;4,VLOOKUP(L30,'Clb Q (2)'!I$27:O$31,3,0),"")</f>
      </c>
      <c r="J30" s="169">
        <f>IF(INFO!B$8&gt;4,VLOOKUP(L30,'Clb Q (2)'!I$27:O$31,4,0),"")</f>
      </c>
      <c r="K30" s="170">
        <f>IF(INFO!B$8&gt;4,VLOOKUP(L30,'Clb Q (2)'!I$27:O$31,5,0),"")</f>
      </c>
      <c r="L30" s="167">
        <f>IF(INFO!B$8&gt;4,LARGE('Clb Q (2)'!I$27:I$31,3),"")</f>
      </c>
      <c r="M30" s="151"/>
    </row>
    <row r="31" spans="1:13" ht="21.75" customHeight="1">
      <c r="A31" s="180"/>
      <c r="B31" s="167">
        <f>IF(INFO!B$8&gt;3,VLOOKUP(F31,'Clb Q (2)'!A$27:G$31,2,0),"")</f>
      </c>
      <c r="C31" s="168">
        <f>IF(INFO!B$8&gt;3,VLOOKUP(F31,'Clb Q (2)'!A$27:G$31,3,0),"")</f>
      </c>
      <c r="D31" s="169">
        <f>IF(INFO!B$8&gt;3,VLOOKUP(F31,'Clb Q (2)'!A$27:G$31,4,0),"")</f>
      </c>
      <c r="E31" s="170">
        <f>IF(INFO!B$8&gt;3,VLOOKUP(F31,'Clb Q (2)'!A$27:G$31,5,0),"")</f>
      </c>
      <c r="F31" s="167">
        <f>IF(INFO!B$8&gt;3,LARGE('Clb Q (2)'!A$27:A$31,4),"")</f>
      </c>
      <c r="G31" s="151"/>
      <c r="H31" s="167">
        <f>IF(INFO!B$8&gt;4,VLOOKUP(L31,'Clb Q (2)'!I$27:O$31,2,0),"")</f>
      </c>
      <c r="I31" s="168">
        <f>IF(INFO!B$8&gt;4,VLOOKUP(L31,'Clb Q (2)'!I$27:O$31,3,0),"")</f>
      </c>
      <c r="J31" s="169">
        <f>IF(INFO!B$8&gt;4,VLOOKUP(L31,'Clb Q (2)'!I$27:O$31,4,0),"")</f>
      </c>
      <c r="K31" s="170">
        <f>IF(INFO!B$8&gt;4,VLOOKUP(L31,'Clb Q (2)'!I$27:O$31,5,0),"")</f>
      </c>
      <c r="L31" s="167">
        <f>IF(INFO!B$8&gt;4,LARGE('Clb Q (2)'!I$27:I$31,4),"")</f>
      </c>
      <c r="M31" s="151"/>
    </row>
    <row r="32" spans="1:13" ht="21.75" customHeight="1">
      <c r="A32" s="180"/>
      <c r="B32" s="174">
        <f>IF(INFO!B$8&gt;3,VLOOKUP(F32,'Clb Q (2)'!A$27:G$31,2,0),"")</f>
      </c>
      <c r="C32" s="153">
        <f>IF(INFO!B$8&gt;3,VLOOKUP(F32,'Clb Q (2)'!A$27:G$31,3,0),"")</f>
      </c>
      <c r="D32" s="175">
        <f>IF(INFO!B$8&gt;3,VLOOKUP(F32,'Clb Q (2)'!A$27:G$31,4,0),"")</f>
      </c>
      <c r="E32" s="176">
        <f>IF(INFO!B$8&gt;3,VLOOKUP(F32,'Clb Q (2)'!A$27:G$31,5,0),"")</f>
      </c>
      <c r="F32" s="174">
        <f>IF(INFO!B$8&gt;3,LARGE('Clb Q (2)'!A$27:A$31,5),"")</f>
      </c>
      <c r="G32" s="151"/>
      <c r="H32" s="174">
        <f>IF(INFO!B$8&gt;4,VLOOKUP(L32,'Clb Q (2)'!I$27:O$31,2,0),"")</f>
      </c>
      <c r="I32" s="153">
        <f>IF(INFO!B$8&gt;4,VLOOKUP(L32,'Clb Q (2)'!I$27:O$31,3,0),"")</f>
      </c>
      <c r="J32" s="175">
        <f>IF(INFO!B$8&gt;4,VLOOKUP(L32,'Clb Q (2)'!I$27:O$31,4,0),"")</f>
      </c>
      <c r="K32" s="176">
        <f>IF(INFO!B$8&gt;4,VLOOKUP(L32,'Clb Q (2)'!I$27:O$31,5,0),"")</f>
      </c>
      <c r="L32" s="174">
        <f>IF(INFO!B$8&gt;4,LARGE('Clb Q (2)'!I$27:I$31,5),"")</f>
      </c>
      <c r="M32" s="151"/>
    </row>
  </sheetData>
  <sheetProtection selectLockedCells="1" selectUnlockedCells="1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IV65536">
    <cfRule type="cellIs" priority="1" dxfId="0" operator="equal" stopIfTrue="1">
      <formula>0</formula>
    </cfRule>
    <cfRule type="expression" priority="2" dxfId="0" stopIfTrue="1">
      <formula>ISERROR(A1)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showGridLines="0" zoomScale="80" zoomScaleNormal="80" workbookViewId="0" topLeftCell="A1">
      <pane ySplit="3" topLeftCell="A60" activePane="bottomLeft" state="frozen"/>
      <selection pane="topLeft" activeCell="A1" sqref="A1"/>
      <selection pane="bottomLeft" activeCell="S55" sqref="S55"/>
    </sheetView>
  </sheetViews>
  <sheetFormatPr defaultColWidth="9.140625" defaultRowHeight="27.75" customHeight="1" outlineLevelRow="1"/>
  <cols>
    <col min="1" max="2" width="9.28125" style="183" customWidth="1"/>
    <col min="3" max="3" width="12.28125" style="183" customWidth="1"/>
    <col min="4" max="5" width="9.28125" style="183" customWidth="1"/>
    <col min="6" max="7" width="7.7109375" style="183" customWidth="1"/>
    <col min="8" max="9" width="9.28125" style="183" customWidth="1"/>
    <col min="10" max="10" width="12.28125" style="183" customWidth="1"/>
    <col min="11" max="12" width="7.7109375" style="183" customWidth="1"/>
    <col min="13" max="13" width="12.28125" style="183" customWidth="1"/>
    <col min="14" max="15" width="9.28125" style="183" customWidth="1"/>
    <col min="16" max="17" width="7.7109375" style="183" customWidth="1"/>
    <col min="18" max="19" width="9.28125" style="183" customWidth="1"/>
    <col min="20" max="20" width="12.28125" style="183" customWidth="1"/>
    <col min="21" max="16384" width="9.28125" style="183" customWidth="1"/>
  </cols>
  <sheetData>
    <row r="1" ht="28.5" customHeight="1">
      <c r="A1" s="184"/>
    </row>
    <row r="2" spans="1:21" ht="24" customHeight="1">
      <c r="A2" s="184"/>
      <c r="B2" s="185" t="str">
        <f>CONCATENATE(INFO!B7," - ",INFO!B9)</f>
        <v>Pistolet - CHAMPAGNE (Ardennes)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28.5" customHeight="1">
      <c r="A3" s="184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21" ht="60" customHeight="1">
      <c r="A4" s="184"/>
      <c r="B4" s="187" t="s">
        <v>55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0" s="189" customFormat="1" ht="27.75" customHeight="1">
      <c r="A5" s="188"/>
      <c r="C5" s="190" t="str">
        <f>'Clb Q'!C2</f>
        <v>USST CHARLEVILLE</v>
      </c>
      <c r="D5" s="190"/>
      <c r="E5" s="190"/>
      <c r="F5" s="191" t="s">
        <v>23</v>
      </c>
      <c r="G5" s="191"/>
      <c r="H5" s="192">
        <f>'Clb Q'!I2</f>
      </c>
      <c r="I5" s="192"/>
      <c r="J5" s="192"/>
      <c r="K5" s="193"/>
      <c r="L5" s="194"/>
      <c r="M5" s="192">
        <f>'Clb Q'!C18</f>
      </c>
      <c r="N5" s="192"/>
      <c r="O5" s="192"/>
      <c r="P5" s="195" t="s">
        <v>23</v>
      </c>
      <c r="Q5" s="195"/>
      <c r="R5" s="192">
        <f>'Clb Q'!I18</f>
      </c>
      <c r="S5" s="192"/>
      <c r="T5" s="192"/>
    </row>
    <row r="6" spans="1:20" s="197" customFormat="1" ht="21.75" customHeight="1" outlineLevel="1">
      <c r="A6" s="196"/>
      <c r="C6" s="198" t="str">
        <f>'Clb Q'!B4</f>
        <v>CLAISSE Didier</v>
      </c>
      <c r="D6" s="198"/>
      <c r="E6" s="198"/>
      <c r="F6" s="199">
        <v>1</v>
      </c>
      <c r="G6" s="200">
        <v>2</v>
      </c>
      <c r="H6" s="201">
        <f>'Clb Q'!H4</f>
      </c>
      <c r="I6" s="201"/>
      <c r="J6" s="201"/>
      <c r="K6" s="202"/>
      <c r="L6" s="203"/>
      <c r="M6" s="201">
        <f>'Clb Q'!B20</f>
      </c>
      <c r="N6" s="201"/>
      <c r="O6" s="201"/>
      <c r="P6" s="204">
        <v>1</v>
      </c>
      <c r="Q6" s="205">
        <v>2</v>
      </c>
      <c r="R6" s="201">
        <f>'Clb Q'!H20</f>
      </c>
      <c r="S6" s="201"/>
      <c r="T6" s="201"/>
    </row>
    <row r="7" spans="1:20" s="197" customFormat="1" ht="21.75" customHeight="1" outlineLevel="1">
      <c r="A7" s="196"/>
      <c r="C7" s="198" t="str">
        <f>'Clb Q'!B5</f>
        <v>PROFICET Hervé</v>
      </c>
      <c r="D7" s="198"/>
      <c r="E7" s="198"/>
      <c r="F7" s="206">
        <v>3</v>
      </c>
      <c r="G7" s="207">
        <v>4</v>
      </c>
      <c r="H7" s="201">
        <f>'Clb Q'!H5</f>
      </c>
      <c r="I7" s="201"/>
      <c r="J7" s="201"/>
      <c r="K7" s="202"/>
      <c r="L7" s="203"/>
      <c r="M7" s="201">
        <f>'Clb Q'!B21</f>
      </c>
      <c r="N7" s="201"/>
      <c r="O7" s="201"/>
      <c r="P7" s="208">
        <v>3</v>
      </c>
      <c r="Q7" s="209">
        <v>4</v>
      </c>
      <c r="R7" s="201">
        <f>'Clb Q'!H21</f>
      </c>
      <c r="S7" s="201"/>
      <c r="T7" s="201"/>
    </row>
    <row r="8" spans="1:20" s="197" customFormat="1" ht="21.75" customHeight="1" outlineLevel="1">
      <c r="A8" s="196"/>
      <c r="C8" s="198" t="str">
        <f>'Clb Q'!B6</f>
        <v>PROFICET Fabrice</v>
      </c>
      <c r="D8" s="198"/>
      <c r="E8" s="198"/>
      <c r="F8" s="206">
        <v>5</v>
      </c>
      <c r="G8" s="207">
        <v>6</v>
      </c>
      <c r="H8" s="201">
        <f>'Clb Q'!H6</f>
      </c>
      <c r="I8" s="201"/>
      <c r="J8" s="201"/>
      <c r="K8" s="202"/>
      <c r="L8" s="203"/>
      <c r="M8" s="201">
        <f>'Clb Q'!B22</f>
      </c>
      <c r="N8" s="201"/>
      <c r="O8" s="201"/>
      <c r="P8" s="208">
        <v>5</v>
      </c>
      <c r="Q8" s="209">
        <v>6</v>
      </c>
      <c r="R8" s="201">
        <f>'Clb Q'!H22</f>
      </c>
      <c r="S8" s="201"/>
      <c r="T8" s="201"/>
    </row>
    <row r="9" spans="1:20" s="197" customFormat="1" ht="21.75" customHeight="1" outlineLevel="1">
      <c r="A9" s="196"/>
      <c r="C9" s="198" t="str">
        <f>'Clb Q'!B7</f>
        <v>PROFICET Pauline</v>
      </c>
      <c r="D9" s="198"/>
      <c r="E9" s="198"/>
      <c r="F9" s="206">
        <v>7</v>
      </c>
      <c r="G9" s="207">
        <v>8</v>
      </c>
      <c r="H9" s="201">
        <f>'Clb Q'!H7</f>
      </c>
      <c r="I9" s="201"/>
      <c r="J9" s="201"/>
      <c r="K9" s="202"/>
      <c r="L9" s="203"/>
      <c r="M9" s="201">
        <f>'Clb Q'!B23</f>
      </c>
      <c r="N9" s="201"/>
      <c r="O9" s="201"/>
      <c r="P9" s="208">
        <v>7</v>
      </c>
      <c r="Q9" s="209">
        <v>8</v>
      </c>
      <c r="R9" s="201">
        <f>'Clb Q'!H23</f>
      </c>
      <c r="S9" s="201"/>
      <c r="T9" s="201"/>
    </row>
    <row r="10" spans="1:20" s="197" customFormat="1" ht="21.75" customHeight="1" outlineLevel="1">
      <c r="A10" s="196"/>
      <c r="C10" s="198" t="str">
        <f>'Clb Q'!B8</f>
        <v>FRERE Fabien</v>
      </c>
      <c r="D10" s="198"/>
      <c r="E10" s="198"/>
      <c r="F10" s="210">
        <v>9</v>
      </c>
      <c r="G10" s="211">
        <v>10</v>
      </c>
      <c r="H10" s="201">
        <f>'Clb Q'!H8</f>
      </c>
      <c r="I10" s="201"/>
      <c r="J10" s="201"/>
      <c r="K10" s="202"/>
      <c r="L10" s="203"/>
      <c r="M10" s="201">
        <f>'Clb Q'!B24</f>
      </c>
      <c r="N10" s="201"/>
      <c r="O10" s="201"/>
      <c r="P10" s="212">
        <v>9</v>
      </c>
      <c r="Q10" s="213">
        <v>10</v>
      </c>
      <c r="R10" s="201">
        <f>'Clb Q'!H24</f>
      </c>
      <c r="S10" s="201"/>
      <c r="T10" s="201"/>
    </row>
    <row r="11" spans="2:22" ht="21.75" customHeight="1">
      <c r="B11" s="214">
        <f>IF(E11="","",IF(E11&gt;2,1,0))</f>
      </c>
      <c r="C11" s="215">
        <f>IF(E11="","",SUM(B11:B17))</f>
      </c>
      <c r="D11" s="215"/>
      <c r="E11" s="216"/>
      <c r="F11" s="217"/>
      <c r="G11" s="217"/>
      <c r="H11" s="218"/>
      <c r="I11" s="219">
        <f>IF(H11="","",SUM(K11:K17))</f>
      </c>
      <c r="J11" s="219"/>
      <c r="K11" s="220">
        <f>IF(H11="","",IF(H11&gt;2,1,0))</f>
      </c>
      <c r="L11" s="221">
        <f>IF(O11="","",IF(O11&gt;2,1,0))</f>
      </c>
      <c r="M11" s="222">
        <f>IF(O11="","",SUM(L11:L17))</f>
      </c>
      <c r="N11" s="222"/>
      <c r="O11" s="218"/>
      <c r="P11" s="223"/>
      <c r="Q11" s="223"/>
      <c r="R11" s="218"/>
      <c r="S11" s="224">
        <f>IF(R11="","",SUM(U11:U17))</f>
      </c>
      <c r="T11" s="224"/>
      <c r="U11" s="225">
        <f>IF(R11="","",IF(R11&gt;2,1,0))</f>
      </c>
      <c r="V11" s="226"/>
    </row>
    <row r="12" spans="2:22" ht="21.75" customHeight="1">
      <c r="B12" s="214">
        <f>IF(E12="","",IF(E12&gt;2,1,0))</f>
      </c>
      <c r="C12" s="215"/>
      <c r="D12" s="215"/>
      <c r="E12" s="227"/>
      <c r="F12" s="228"/>
      <c r="G12" s="228"/>
      <c r="H12" s="229"/>
      <c r="I12" s="219"/>
      <c r="J12" s="219"/>
      <c r="K12" s="220">
        <f>IF(H12="","",IF(H12&gt;2,1,0))</f>
      </c>
      <c r="L12" s="221">
        <f>IF(O12="","",IF(O12&gt;2,1,0))</f>
      </c>
      <c r="M12" s="222"/>
      <c r="N12" s="222"/>
      <c r="O12" s="229"/>
      <c r="P12" s="230"/>
      <c r="Q12" s="230"/>
      <c r="R12" s="229"/>
      <c r="S12" s="224"/>
      <c r="T12" s="224"/>
      <c r="U12" s="225">
        <f>IF(R12="","",IF(R12&gt;2,1,0))</f>
      </c>
      <c r="V12" s="226"/>
    </row>
    <row r="13" spans="2:22" ht="21.75" customHeight="1">
      <c r="B13" s="214">
        <f>IF(E13="","",IF(E13&gt;2,1,0))</f>
      </c>
      <c r="C13" s="215"/>
      <c r="D13" s="215"/>
      <c r="E13" s="227"/>
      <c r="F13" s="228"/>
      <c r="G13" s="228"/>
      <c r="H13" s="229"/>
      <c r="I13" s="219"/>
      <c r="J13" s="219"/>
      <c r="K13" s="220">
        <f>IF(H13="","",IF(H13&gt;2,1,0))</f>
      </c>
      <c r="L13" s="221">
        <f>IF(O13="","",IF(O13&gt;2,1,0))</f>
      </c>
      <c r="M13" s="222"/>
      <c r="N13" s="222"/>
      <c r="O13" s="229"/>
      <c r="P13" s="230"/>
      <c r="Q13" s="230"/>
      <c r="R13" s="229"/>
      <c r="S13" s="224"/>
      <c r="T13" s="224"/>
      <c r="U13" s="225">
        <f>IF(R13="","",IF(R13&gt;2,1,0))</f>
      </c>
      <c r="V13" s="226"/>
    </row>
    <row r="14" spans="2:22" ht="21.75" customHeight="1">
      <c r="B14" s="214">
        <f>IF(E14="","",IF(E14&gt;2,1,0))</f>
      </c>
      <c r="C14" s="215"/>
      <c r="D14" s="215"/>
      <c r="E14" s="227"/>
      <c r="F14" s="228"/>
      <c r="G14" s="228"/>
      <c r="H14" s="229"/>
      <c r="I14" s="219"/>
      <c r="J14" s="219"/>
      <c r="K14" s="220">
        <f>IF(H14="","",IF(H14&gt;2,1,0))</f>
      </c>
      <c r="L14" s="221">
        <f>IF(O14="","",IF(O14&gt;2,1,0))</f>
      </c>
      <c r="M14" s="222"/>
      <c r="N14" s="222"/>
      <c r="O14" s="229"/>
      <c r="P14" s="230"/>
      <c r="Q14" s="230"/>
      <c r="R14" s="229"/>
      <c r="S14" s="224"/>
      <c r="T14" s="224"/>
      <c r="U14" s="225">
        <f>IF(R14="","",IF(R14&gt;2,1,0))</f>
      </c>
      <c r="V14" s="226"/>
    </row>
    <row r="15" spans="2:22" ht="21.75" customHeight="1">
      <c r="B15" s="214">
        <f>IF(E15="","",IF(E15&gt;2,1,0))</f>
      </c>
      <c r="C15" s="215"/>
      <c r="D15" s="215"/>
      <c r="E15" s="227"/>
      <c r="F15" s="228"/>
      <c r="G15" s="228"/>
      <c r="H15" s="229"/>
      <c r="I15" s="219"/>
      <c r="J15" s="219"/>
      <c r="K15" s="220">
        <f>IF(H15="","",IF(H15&gt;2,1,0))</f>
      </c>
      <c r="L15" s="221">
        <f>IF(O15="","",IF(O15&gt;2,1,0))</f>
      </c>
      <c r="M15" s="222"/>
      <c r="N15" s="222"/>
      <c r="O15" s="229"/>
      <c r="P15" s="230"/>
      <c r="Q15" s="230"/>
      <c r="R15" s="229"/>
      <c r="S15" s="224"/>
      <c r="T15" s="224"/>
      <c r="U15" s="225">
        <f>IF(R15="","",IF(R15&gt;2,1,0))</f>
      </c>
      <c r="V15" s="226"/>
    </row>
    <row r="16" spans="2:22" ht="21.75" customHeight="1">
      <c r="B16" s="214">
        <f>IF(E16="","",IF(E16&gt;2,1,0))</f>
      </c>
      <c r="C16" s="215"/>
      <c r="D16" s="215"/>
      <c r="E16" s="227"/>
      <c r="F16" s="228"/>
      <c r="G16" s="228"/>
      <c r="H16" s="229"/>
      <c r="I16" s="219"/>
      <c r="J16" s="219"/>
      <c r="K16" s="220">
        <f>IF(H16="","",IF(H16&gt;2,1,0))</f>
      </c>
      <c r="L16" s="221">
        <f>IF(O16="","",IF(O16&gt;2,1,0))</f>
      </c>
      <c r="M16" s="222"/>
      <c r="N16" s="222"/>
      <c r="O16" s="229"/>
      <c r="P16" s="230"/>
      <c r="Q16" s="230"/>
      <c r="R16" s="229"/>
      <c r="S16" s="224"/>
      <c r="T16" s="224"/>
      <c r="U16" s="225">
        <f>IF(R16="","",IF(R16&gt;2,1,0))</f>
      </c>
      <c r="V16" s="226"/>
    </row>
    <row r="17" spans="2:22" ht="21.75" customHeight="1">
      <c r="B17" s="214">
        <f>IF(E17="","",IF(E17&gt;2,1,0))</f>
      </c>
      <c r="C17" s="215"/>
      <c r="D17" s="215"/>
      <c r="E17" s="231"/>
      <c r="F17" s="228"/>
      <c r="G17" s="228"/>
      <c r="H17" s="232"/>
      <c r="I17" s="219"/>
      <c r="J17" s="219"/>
      <c r="K17" s="220">
        <f>IF(H17="","",IF(H17&gt;2,1,0))</f>
      </c>
      <c r="L17" s="221">
        <f>IF(O17="","",IF(O17&gt;2,1,0))</f>
      </c>
      <c r="M17" s="222"/>
      <c r="N17" s="222"/>
      <c r="O17" s="232"/>
      <c r="P17" s="230"/>
      <c r="Q17" s="230"/>
      <c r="R17" s="232"/>
      <c r="S17" s="224"/>
      <c r="T17" s="224"/>
      <c r="U17" s="225">
        <f>IF(R17="","",IF(R17&gt;2,1,0))</f>
      </c>
      <c r="V17" s="226"/>
    </row>
    <row r="18" spans="11:22" ht="30" customHeight="1">
      <c r="K18" s="233"/>
      <c r="L18" s="234"/>
      <c r="V18" s="226"/>
    </row>
    <row r="19" spans="3:22" s="189" customFormat="1" ht="27.75" customHeight="1">
      <c r="C19" s="192">
        <f>'Clb Q'!I26</f>
      </c>
      <c r="D19" s="192"/>
      <c r="E19" s="192"/>
      <c r="F19" s="195" t="s">
        <v>23</v>
      </c>
      <c r="G19" s="195"/>
      <c r="H19" s="192">
        <f>'Clb Q'!C26</f>
      </c>
      <c r="I19" s="192"/>
      <c r="J19" s="192"/>
      <c r="K19" s="235"/>
      <c r="L19" s="236"/>
      <c r="M19" s="192">
        <f>'Clb Q'!I10</f>
      </c>
      <c r="N19" s="192"/>
      <c r="O19" s="192"/>
      <c r="P19" s="195" t="s">
        <v>23</v>
      </c>
      <c r="Q19" s="195"/>
      <c r="R19" s="192">
        <f>'Clb Q'!C10</f>
        <v>0</v>
      </c>
      <c r="S19" s="192"/>
      <c r="T19" s="192"/>
      <c r="V19" s="237"/>
    </row>
    <row r="20" spans="3:22" s="197" customFormat="1" ht="21.75" customHeight="1" outlineLevel="1">
      <c r="C20" s="201">
        <f>'Clb Q'!H28</f>
      </c>
      <c r="D20" s="201"/>
      <c r="E20" s="201"/>
      <c r="F20" s="204">
        <v>11</v>
      </c>
      <c r="G20" s="205">
        <v>12</v>
      </c>
      <c r="H20" s="201">
        <f>'Clb Q'!B28</f>
      </c>
      <c r="I20" s="201"/>
      <c r="J20" s="201"/>
      <c r="K20" s="238"/>
      <c r="L20" s="239"/>
      <c r="M20" s="201">
        <f>'Clb Q'!H12</f>
      </c>
      <c r="N20" s="201"/>
      <c r="O20" s="201"/>
      <c r="P20" s="204">
        <v>11</v>
      </c>
      <c r="Q20" s="205">
        <v>12</v>
      </c>
      <c r="R20" s="201">
        <f>'Clb Q'!B12</f>
        <v>0</v>
      </c>
      <c r="S20" s="201"/>
      <c r="T20" s="201"/>
      <c r="V20" s="240"/>
    </row>
    <row r="21" spans="3:22" s="197" customFormat="1" ht="21.75" customHeight="1" outlineLevel="1">
      <c r="C21" s="201">
        <f>'Clb Q'!H29</f>
      </c>
      <c r="D21" s="201"/>
      <c r="E21" s="201"/>
      <c r="F21" s="208">
        <v>13</v>
      </c>
      <c r="G21" s="209">
        <v>14</v>
      </c>
      <c r="H21" s="201">
        <f>'Clb Q'!B29</f>
      </c>
      <c r="I21" s="201"/>
      <c r="J21" s="201"/>
      <c r="K21" s="238"/>
      <c r="L21" s="239"/>
      <c r="M21" s="201">
        <f>'Clb Q'!H13</f>
      </c>
      <c r="N21" s="201"/>
      <c r="O21" s="201"/>
      <c r="P21" s="208">
        <v>13</v>
      </c>
      <c r="Q21" s="209">
        <v>14</v>
      </c>
      <c r="R21" s="201">
        <f>'Clb Q'!B13</f>
        <v>0</v>
      </c>
      <c r="S21" s="201"/>
      <c r="T21" s="201"/>
      <c r="V21" s="240"/>
    </row>
    <row r="22" spans="3:22" s="197" customFormat="1" ht="21.75" customHeight="1" outlineLevel="1">
      <c r="C22" s="201">
        <f>'Clb Q'!H30</f>
      </c>
      <c r="D22" s="201"/>
      <c r="E22" s="201"/>
      <c r="F22" s="208">
        <v>15</v>
      </c>
      <c r="G22" s="209">
        <v>16</v>
      </c>
      <c r="H22" s="201">
        <f>'Clb Q'!B30</f>
      </c>
      <c r="I22" s="201"/>
      <c r="J22" s="201"/>
      <c r="K22" s="238"/>
      <c r="L22" s="239"/>
      <c r="M22" s="201">
        <f>'Clb Q'!H14</f>
      </c>
      <c r="N22" s="201"/>
      <c r="O22" s="201"/>
      <c r="P22" s="208">
        <v>15</v>
      </c>
      <c r="Q22" s="209">
        <v>16</v>
      </c>
      <c r="R22" s="201">
        <f>'Clb Q'!B14</f>
        <v>0</v>
      </c>
      <c r="S22" s="201"/>
      <c r="T22" s="201"/>
      <c r="V22" s="240"/>
    </row>
    <row r="23" spans="3:22" s="197" customFormat="1" ht="21.75" customHeight="1" outlineLevel="1">
      <c r="C23" s="201">
        <f>'Clb Q'!H31</f>
      </c>
      <c r="D23" s="201"/>
      <c r="E23" s="201"/>
      <c r="F23" s="208">
        <v>17</v>
      </c>
      <c r="G23" s="209">
        <v>18</v>
      </c>
      <c r="H23" s="201">
        <f>'Clb Q'!B31</f>
      </c>
      <c r="I23" s="201"/>
      <c r="J23" s="201"/>
      <c r="K23" s="238"/>
      <c r="L23" s="239"/>
      <c r="M23" s="201">
        <f>'Clb Q'!H15</f>
      </c>
      <c r="N23" s="201"/>
      <c r="O23" s="201"/>
      <c r="P23" s="208">
        <v>17</v>
      </c>
      <c r="Q23" s="209">
        <v>18</v>
      </c>
      <c r="R23" s="201">
        <f>'Clb Q'!B15</f>
        <v>0</v>
      </c>
      <c r="S23" s="201"/>
      <c r="T23" s="201"/>
      <c r="V23" s="240"/>
    </row>
    <row r="24" spans="3:22" s="197" customFormat="1" ht="21.75" customHeight="1" outlineLevel="1">
      <c r="C24" s="201">
        <f>'Clb Q'!H32</f>
      </c>
      <c r="D24" s="201"/>
      <c r="E24" s="201"/>
      <c r="F24" s="212">
        <v>19</v>
      </c>
      <c r="G24" s="213">
        <v>20</v>
      </c>
      <c r="H24" s="201">
        <f>'Clb Q'!B32</f>
      </c>
      <c r="I24" s="201"/>
      <c r="J24" s="201"/>
      <c r="K24" s="238"/>
      <c r="L24" s="239"/>
      <c r="M24" s="201">
        <f>'Clb Q'!H16</f>
      </c>
      <c r="N24" s="201"/>
      <c r="O24" s="201"/>
      <c r="P24" s="212">
        <v>19</v>
      </c>
      <c r="Q24" s="213">
        <v>20</v>
      </c>
      <c r="R24" s="201">
        <f>'Clb Q'!B16</f>
        <v>0</v>
      </c>
      <c r="S24" s="201"/>
      <c r="T24" s="201"/>
      <c r="V24" s="240"/>
    </row>
    <row r="25" spans="2:22" ht="21.75" customHeight="1">
      <c r="B25" s="221">
        <f>IF(E25="","",IF(E25&gt;2,1,0))</f>
      </c>
      <c r="C25" s="222">
        <f>IF(E25="","",SUM(B25:B31))</f>
      </c>
      <c r="D25" s="222"/>
      <c r="E25" s="218"/>
      <c r="F25" s="223"/>
      <c r="G25" s="223"/>
      <c r="H25" s="218"/>
      <c r="I25" s="224">
        <f>IF(H25="","",SUM(K25:K31))</f>
      </c>
      <c r="J25" s="224"/>
      <c r="K25" s="225">
        <f>IF(H25="","",IF(H25&gt;2,1,0))</f>
      </c>
      <c r="L25" s="221">
        <f>IF(O25="","",IF(O25&gt;2,1,0))</f>
      </c>
      <c r="M25" s="222">
        <f>IF(O25="","",SUM(L25:L31))</f>
      </c>
      <c r="N25" s="222"/>
      <c r="O25" s="218"/>
      <c r="P25" s="223"/>
      <c r="Q25" s="223"/>
      <c r="R25" s="218"/>
      <c r="S25" s="224">
        <f>IF(R25="","",SUM(U25:U31))</f>
      </c>
      <c r="T25" s="224"/>
      <c r="U25" s="225">
        <f>IF(R25="","",IF(R25&gt;2,1,0))</f>
      </c>
      <c r="V25" s="226"/>
    </row>
    <row r="26" spans="2:22" ht="21.75" customHeight="1">
      <c r="B26" s="221">
        <f>IF(E26="","",IF(E26&gt;2,1,0))</f>
      </c>
      <c r="C26" s="222"/>
      <c r="D26" s="222"/>
      <c r="E26" s="229"/>
      <c r="F26" s="230"/>
      <c r="G26" s="230"/>
      <c r="H26" s="229"/>
      <c r="I26" s="224"/>
      <c r="J26" s="224"/>
      <c r="K26" s="225">
        <f>IF(H26="","",IF(H26&gt;2,1,0))</f>
      </c>
      <c r="L26" s="221">
        <f>IF(O26="","",IF(O26&gt;2,1,0))</f>
      </c>
      <c r="M26" s="222"/>
      <c r="N26" s="222"/>
      <c r="O26" s="229"/>
      <c r="P26" s="230"/>
      <c r="Q26" s="230"/>
      <c r="R26" s="229"/>
      <c r="S26" s="224"/>
      <c r="T26" s="224"/>
      <c r="U26" s="225">
        <f>IF(R26="","",IF(R26&gt;2,1,0))</f>
      </c>
      <c r="V26" s="226"/>
    </row>
    <row r="27" spans="2:22" ht="21.75" customHeight="1">
      <c r="B27" s="221">
        <f>IF(E27="","",IF(E27&gt;2,1,0))</f>
      </c>
      <c r="C27" s="222"/>
      <c r="D27" s="222"/>
      <c r="E27" s="229"/>
      <c r="F27" s="230"/>
      <c r="G27" s="230"/>
      <c r="H27" s="229"/>
      <c r="I27" s="224"/>
      <c r="J27" s="224"/>
      <c r="K27" s="225">
        <f>IF(H27="","",IF(H27&gt;2,1,0))</f>
      </c>
      <c r="L27" s="221">
        <f>IF(O27="","",IF(O27&gt;2,1,0))</f>
      </c>
      <c r="M27" s="222"/>
      <c r="N27" s="222"/>
      <c r="O27" s="229"/>
      <c r="P27" s="230"/>
      <c r="Q27" s="230"/>
      <c r="R27" s="229"/>
      <c r="S27" s="224"/>
      <c r="T27" s="224"/>
      <c r="U27" s="225">
        <f>IF(R27="","",IF(R27&gt;2,1,0))</f>
      </c>
      <c r="V27" s="226"/>
    </row>
    <row r="28" spans="2:22" ht="21.75" customHeight="1">
      <c r="B28" s="221">
        <f>IF(E28="","",IF(E28&gt;2,1,0))</f>
      </c>
      <c r="C28" s="222"/>
      <c r="D28" s="222"/>
      <c r="E28" s="229"/>
      <c r="F28" s="230"/>
      <c r="G28" s="230"/>
      <c r="H28" s="229"/>
      <c r="I28" s="224"/>
      <c r="J28" s="224"/>
      <c r="K28" s="225">
        <f>IF(H28="","",IF(H28&gt;2,1,0))</f>
      </c>
      <c r="L28" s="221">
        <f>IF(O28="","",IF(O28&gt;2,1,0))</f>
      </c>
      <c r="M28" s="222"/>
      <c r="N28" s="222"/>
      <c r="O28" s="229"/>
      <c r="P28" s="230"/>
      <c r="Q28" s="230"/>
      <c r="R28" s="229"/>
      <c r="S28" s="224"/>
      <c r="T28" s="224"/>
      <c r="U28" s="225">
        <f>IF(R28="","",IF(R28&gt;2,1,0))</f>
      </c>
      <c r="V28" s="226"/>
    </row>
    <row r="29" spans="2:22" ht="21.75" customHeight="1">
      <c r="B29" s="221">
        <f>IF(E29="","",IF(E29&gt;2,1,0))</f>
      </c>
      <c r="C29" s="222"/>
      <c r="D29" s="222"/>
      <c r="E29" s="229"/>
      <c r="F29" s="230"/>
      <c r="G29" s="230"/>
      <c r="H29" s="229"/>
      <c r="I29" s="224"/>
      <c r="J29" s="224"/>
      <c r="K29" s="225">
        <f>IF(H29="","",IF(H29&gt;2,1,0))</f>
      </c>
      <c r="L29" s="221">
        <f>IF(O29="","",IF(O29&gt;2,1,0))</f>
      </c>
      <c r="M29" s="222"/>
      <c r="N29" s="222"/>
      <c r="O29" s="229"/>
      <c r="P29" s="230"/>
      <c r="Q29" s="230"/>
      <c r="R29" s="229"/>
      <c r="S29" s="224"/>
      <c r="T29" s="224"/>
      <c r="U29" s="225">
        <f>IF(R29="","",IF(R29&gt;2,1,0))</f>
      </c>
      <c r="V29" s="226"/>
    </row>
    <row r="30" spans="2:22" ht="21.75" customHeight="1">
      <c r="B30" s="221">
        <f>IF(E30="","",IF(E30&gt;2,1,0))</f>
      </c>
      <c r="C30" s="222"/>
      <c r="D30" s="222"/>
      <c r="E30" s="229"/>
      <c r="F30" s="230"/>
      <c r="G30" s="230"/>
      <c r="H30" s="229"/>
      <c r="I30" s="224"/>
      <c r="J30" s="224"/>
      <c r="K30" s="225">
        <f>IF(H30="","",IF(H30&gt;2,1,0))</f>
      </c>
      <c r="L30" s="221">
        <f>IF(O30="","",IF(O30&gt;2,1,0))</f>
      </c>
      <c r="M30" s="222"/>
      <c r="N30" s="222"/>
      <c r="O30" s="229"/>
      <c r="P30" s="230"/>
      <c r="Q30" s="230"/>
      <c r="R30" s="229"/>
      <c r="S30" s="224"/>
      <c r="T30" s="224"/>
      <c r="U30" s="225">
        <f>IF(R30="","",IF(R30&gt;2,1,0))</f>
      </c>
      <c r="V30" s="226"/>
    </row>
    <row r="31" spans="2:22" ht="21.75" customHeight="1">
      <c r="B31" s="221">
        <f>IF(E31="","",IF(E31&gt;2,1,0))</f>
      </c>
      <c r="C31" s="222"/>
      <c r="D31" s="222"/>
      <c r="E31" s="232"/>
      <c r="F31" s="230"/>
      <c r="G31" s="230"/>
      <c r="H31" s="232"/>
      <c r="I31" s="224"/>
      <c r="J31" s="224"/>
      <c r="K31" s="225">
        <f>IF(H31="","",IF(H31&gt;2,1,0))</f>
      </c>
      <c r="L31" s="221">
        <f>IF(O31="","",IF(O31&gt;2,1,0))</f>
      </c>
      <c r="M31" s="222"/>
      <c r="N31" s="222"/>
      <c r="O31" s="232"/>
      <c r="P31" s="230"/>
      <c r="Q31" s="230"/>
      <c r="R31" s="232"/>
      <c r="S31" s="224"/>
      <c r="T31" s="224"/>
      <c r="U31" s="225">
        <f>IF(R31="","",IF(R31&gt;2,1,0))</f>
      </c>
      <c r="V31" s="226"/>
    </row>
    <row r="32" ht="399.75" customHeight="1" hidden="1" outlineLevel="1">
      <c r="K32" s="226"/>
    </row>
    <row r="33" ht="99.75" customHeight="1" hidden="1" outlineLevel="1">
      <c r="K33" s="226"/>
    </row>
    <row r="34" spans="2:21" ht="60" customHeight="1">
      <c r="B34" s="241" t="s">
        <v>56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</row>
    <row r="35" spans="3:20" s="189" customFormat="1" ht="27.75" customHeight="1">
      <c r="C35" s="242" t="str">
        <f>IF(H5="",C5,IF(C11="","",IF(I11="","",IF(C11&gt;3,C5,IF(I11&gt;3,H5,"")))))</f>
        <v>USST CHARLEVILLE</v>
      </c>
      <c r="D35" s="242"/>
      <c r="E35" s="242"/>
      <c r="F35" s="195" t="s">
        <v>23</v>
      </c>
      <c r="G35" s="195"/>
      <c r="H35" s="243">
        <f>IF(C19="",H19,IF(C25="","",IF(I25="","",IF(C25&gt;3,C19,IF(I25&gt;3,H19,"")))))</f>
      </c>
      <c r="I35" s="243"/>
      <c r="J35" s="243"/>
      <c r="K35" s="244"/>
      <c r="L35" s="236"/>
      <c r="M35" s="243">
        <f>IF(R5="",M5,IF(M11="","",IF(S11="","",IF(M11&gt;3,M5,IF(S11&gt;3,R5,"")))))</f>
      </c>
      <c r="N35" s="243"/>
      <c r="O35" s="243"/>
      <c r="P35" s="195" t="s">
        <v>23</v>
      </c>
      <c r="Q35" s="195"/>
      <c r="R35" s="243">
        <f>IF(M19="",R19,IF(M25="","",IF(S25="","",IF(M25&gt;3,M19,IF(S25&gt;3,R19,"")))))</f>
        <v>0</v>
      </c>
      <c r="S35" s="243"/>
      <c r="T35" s="243"/>
    </row>
    <row r="36" spans="3:21" s="197" customFormat="1" ht="21.75" customHeight="1" outlineLevel="1">
      <c r="C36" s="245" t="str">
        <f>IF(H6="",C6,IF(C11="","",IF(I11="","",IF(C11&gt;3,C6,IF(I11&gt;3,H6,"")))))</f>
        <v>CLAISSE Didier</v>
      </c>
      <c r="D36" s="245"/>
      <c r="E36" s="245"/>
      <c r="F36" s="246">
        <v>1</v>
      </c>
      <c r="G36" s="247">
        <v>2</v>
      </c>
      <c r="H36" s="248">
        <f>IF(C20="",H20,IF(C25="","",IF(I25="","",IF(C25&gt;3,C20,IF(I25&gt;3,H20,"")))))</f>
      </c>
      <c r="I36" s="248"/>
      <c r="J36" s="248"/>
      <c r="K36" s="244"/>
      <c r="L36" s="239"/>
      <c r="M36" s="248">
        <f>IF(R6="",M6,IF(M11="","",IF(S11="","",IF(M11&gt;3,M6,IF(S11&gt;3,R6,"")))))</f>
      </c>
      <c r="N36" s="248"/>
      <c r="O36" s="248"/>
      <c r="P36" s="249">
        <v>11</v>
      </c>
      <c r="Q36" s="250">
        <v>12</v>
      </c>
      <c r="R36" s="248">
        <f>IF(M20="",R20,IF(M25="","",IF(S25="","",IF(M25&gt;3,M20,IF(S25&gt;3,R20,"")))))</f>
        <v>0</v>
      </c>
      <c r="S36" s="248"/>
      <c r="T36" s="248"/>
      <c r="U36" s="251"/>
    </row>
    <row r="37" spans="3:21" s="197" customFormat="1" ht="21.75" customHeight="1" outlineLevel="1">
      <c r="C37" s="245" t="str">
        <f>IF(H7="",C7,IF(C11="","",IF(I11="","",IF(C11&gt;3,C7,IF(I11&gt;3,H7,"")))))</f>
        <v>PROFICET Hervé</v>
      </c>
      <c r="D37" s="245"/>
      <c r="E37" s="245"/>
      <c r="F37" s="252">
        <v>3</v>
      </c>
      <c r="G37" s="253">
        <v>4</v>
      </c>
      <c r="H37" s="248">
        <f>IF(C21="",H21,IF(C25="","",IF(I25="","",IF(C25&gt;3,C21,IF(I25&gt;3,H21,"")))))</f>
      </c>
      <c r="I37" s="248"/>
      <c r="J37" s="248"/>
      <c r="K37" s="244"/>
      <c r="L37" s="239"/>
      <c r="M37" s="248">
        <f>IF(R7="",M7,IF(M11="","",IF(S11="","",IF(M11&gt;3,M7,IF(S11&gt;3,R7,"")))))</f>
      </c>
      <c r="N37" s="248"/>
      <c r="O37" s="248"/>
      <c r="P37" s="254">
        <v>13</v>
      </c>
      <c r="Q37" s="255">
        <v>14</v>
      </c>
      <c r="R37" s="248">
        <f>IF(M21="",R21,IF(M25="","",IF(S25="","",IF(M25&gt;3,M21,IF(S25&gt;3,R21,"")))))</f>
        <v>0</v>
      </c>
      <c r="S37" s="248"/>
      <c r="T37" s="248"/>
      <c r="U37" s="251"/>
    </row>
    <row r="38" spans="3:21" s="197" customFormat="1" ht="21.75" customHeight="1" outlineLevel="1">
      <c r="C38" s="245" t="str">
        <f>IF(H8="",C8,IF(C11="","",IF(I11="","",IF(C11&gt;3,C8,IF(I11&gt;3,H8,"")))))</f>
        <v>PROFICET Fabrice</v>
      </c>
      <c r="D38" s="245"/>
      <c r="E38" s="245"/>
      <c r="F38" s="252">
        <v>5</v>
      </c>
      <c r="G38" s="253">
        <v>6</v>
      </c>
      <c r="H38" s="248">
        <f>IF(C22="",H22,IF(C25="","",IF(I25="","",IF(C25&gt;3,C22,IF(I25&gt;3,H22,"")))))</f>
      </c>
      <c r="I38" s="248"/>
      <c r="J38" s="248"/>
      <c r="K38" s="244"/>
      <c r="L38" s="239"/>
      <c r="M38" s="248">
        <f>IF(R8="",M8,IF(M11="","",IF(S11="","",IF(M11&gt;3,M8,IF(S11&gt;3,R8,"")))))</f>
      </c>
      <c r="N38" s="248"/>
      <c r="O38" s="248"/>
      <c r="P38" s="254">
        <v>15</v>
      </c>
      <c r="Q38" s="255">
        <v>16</v>
      </c>
      <c r="R38" s="248">
        <f>IF(M22="",R22,IF(M25="","",IF(S25="","",IF(M25&gt;3,M22,IF(S25&gt;3,R22,"")))))</f>
        <v>0</v>
      </c>
      <c r="S38" s="248"/>
      <c r="T38" s="248"/>
      <c r="U38" s="251"/>
    </row>
    <row r="39" spans="3:21" s="197" customFormat="1" ht="21.75" customHeight="1" outlineLevel="1">
      <c r="C39" s="245" t="str">
        <f>IF(H9="",C9,IF(C11="","",IF(I11="","",IF(C11&gt;3,C9,IF(I11&gt;3,H9,"")))))</f>
        <v>PROFICET Pauline</v>
      </c>
      <c r="D39" s="245"/>
      <c r="E39" s="245"/>
      <c r="F39" s="252">
        <v>7</v>
      </c>
      <c r="G39" s="253">
        <v>8</v>
      </c>
      <c r="H39" s="248">
        <f>IF(C23="",H23,IF(C25="","",IF(I25="","",IF(C25&gt;3,C23,IF(I25&gt;3,H23,"")))))</f>
      </c>
      <c r="I39" s="248"/>
      <c r="J39" s="248"/>
      <c r="K39" s="244"/>
      <c r="L39" s="239"/>
      <c r="M39" s="248">
        <f>IF(R9="",M9,IF(M11="","",IF(S11="","",IF(M11&gt;3,M9,IF(S11&gt;3,R9,"")))))</f>
      </c>
      <c r="N39" s="248"/>
      <c r="O39" s="248"/>
      <c r="P39" s="254">
        <v>17</v>
      </c>
      <c r="Q39" s="255">
        <v>18</v>
      </c>
      <c r="R39" s="248">
        <f>IF(M23="",R23,IF(M25="","",IF(S25="","",IF(M25&gt;3,M23,IF(S25&gt;3,R23,"")))))</f>
        <v>0</v>
      </c>
      <c r="S39" s="248"/>
      <c r="T39" s="248"/>
      <c r="U39" s="251"/>
    </row>
    <row r="40" spans="3:21" s="197" customFormat="1" ht="21.75" customHeight="1" outlineLevel="1">
      <c r="C40" s="245" t="str">
        <f>IF(H10="",C10,IF(C11="","",IF(I11="","",IF(C11&gt;3,C10,IF(I11&gt;3,H10,"")))))</f>
        <v>FRERE Fabien</v>
      </c>
      <c r="D40" s="245"/>
      <c r="E40" s="245"/>
      <c r="F40" s="256">
        <v>9</v>
      </c>
      <c r="G40" s="257">
        <v>10</v>
      </c>
      <c r="H40" s="248">
        <f>IF(C24="",H24,IF(C25="","",IF(I25="","",IF(C25&gt;3,C24,IF(I25&gt;3,H24,"")))))</f>
      </c>
      <c r="I40" s="248"/>
      <c r="J40" s="248"/>
      <c r="K40" s="244"/>
      <c r="L40" s="239"/>
      <c r="M40" s="248">
        <f>IF(R10="",M10,IF(M11="","",IF(S11="","",IF(M11&gt;3,M10,IF(S11&gt;3,R10,"")))))</f>
      </c>
      <c r="N40" s="248"/>
      <c r="O40" s="248"/>
      <c r="P40" s="258">
        <v>19</v>
      </c>
      <c r="Q40" s="259">
        <v>20</v>
      </c>
      <c r="R40" s="248">
        <f>IF(M24="",R24,IF(M25="","",IF(S25="","",IF(M25&gt;3,M24,IF(S25&gt;3,R24,"")))))</f>
        <v>0</v>
      </c>
      <c r="S40" s="248"/>
      <c r="T40" s="248"/>
      <c r="U40" s="251"/>
    </row>
    <row r="41" spans="2:22" ht="21.75" customHeight="1">
      <c r="B41" s="221">
        <f>IF(E41="","",IF(E41&gt;2,1,0))</f>
      </c>
      <c r="C41" s="222">
        <f>IF(E41="","",SUM(B41:B47))</f>
      </c>
      <c r="D41" s="222"/>
      <c r="E41" s="218"/>
      <c r="F41" s="223"/>
      <c r="G41" s="223"/>
      <c r="H41" s="218"/>
      <c r="I41" s="224">
        <f>IF(H41="","",SUM(K41:K47))</f>
      </c>
      <c r="J41" s="224"/>
      <c r="K41" s="225">
        <f>IF(H41="","",IF(H41&gt;2,1,0))</f>
      </c>
      <c r="L41" s="260">
        <f>IF(O41="","",IF(O41&gt;2,1,0))</f>
      </c>
      <c r="M41" s="222">
        <f>IF(O41="","",SUM(L41:L47))</f>
      </c>
      <c r="N41" s="222"/>
      <c r="O41" s="218"/>
      <c r="P41" s="223"/>
      <c r="Q41" s="223"/>
      <c r="R41" s="218"/>
      <c r="S41" s="224">
        <f>IF(R41="","",SUM(U41:U47))</f>
      </c>
      <c r="T41" s="224"/>
      <c r="U41" s="225">
        <f>IF(R41="","",IF(R41&gt;2,1,0))</f>
      </c>
      <c r="V41" s="226"/>
    </row>
    <row r="42" spans="2:22" ht="21.75" customHeight="1">
      <c r="B42" s="221">
        <f>IF(E42="","",IF(E42&gt;2,1,0))</f>
      </c>
      <c r="C42" s="222"/>
      <c r="D42" s="222"/>
      <c r="E42" s="229"/>
      <c r="F42" s="230"/>
      <c r="G42" s="230"/>
      <c r="H42" s="229"/>
      <c r="I42" s="224"/>
      <c r="J42" s="224"/>
      <c r="K42" s="225">
        <f>IF(H42="","",IF(H42&gt;2,1,0))</f>
      </c>
      <c r="L42" s="260">
        <f>IF(O42="","",IF(O42&gt;2,1,0))</f>
      </c>
      <c r="M42" s="222"/>
      <c r="N42" s="222"/>
      <c r="O42" s="229"/>
      <c r="P42" s="230"/>
      <c r="Q42" s="230"/>
      <c r="R42" s="229"/>
      <c r="S42" s="224"/>
      <c r="T42" s="224"/>
      <c r="U42" s="225">
        <f>IF(R42="","",IF(R42&gt;2,1,0))</f>
      </c>
      <c r="V42" s="226"/>
    </row>
    <row r="43" spans="2:22" ht="21.75" customHeight="1">
      <c r="B43" s="221">
        <f>IF(E43="","",IF(E43&gt;2,1,0))</f>
      </c>
      <c r="C43" s="222"/>
      <c r="D43" s="222"/>
      <c r="E43" s="229"/>
      <c r="F43" s="230"/>
      <c r="G43" s="230"/>
      <c r="H43" s="229"/>
      <c r="I43" s="224"/>
      <c r="J43" s="224"/>
      <c r="K43" s="225">
        <f>IF(H43="","",IF(H43&gt;2,1,0))</f>
      </c>
      <c r="L43" s="260">
        <f>IF(O43="","",IF(O43&gt;2,1,0))</f>
      </c>
      <c r="M43" s="222"/>
      <c r="N43" s="222"/>
      <c r="O43" s="229"/>
      <c r="P43" s="230"/>
      <c r="Q43" s="230"/>
      <c r="R43" s="229"/>
      <c r="S43" s="224"/>
      <c r="T43" s="224"/>
      <c r="U43" s="225">
        <f>IF(R43="","",IF(R43&gt;2,1,0))</f>
      </c>
      <c r="V43" s="226"/>
    </row>
    <row r="44" spans="2:22" ht="21.75" customHeight="1">
      <c r="B44" s="221">
        <f>IF(E44="","",IF(E44&gt;2,1,0))</f>
      </c>
      <c r="C44" s="222"/>
      <c r="D44" s="222"/>
      <c r="E44" s="229"/>
      <c r="F44" s="230"/>
      <c r="G44" s="230"/>
      <c r="H44" s="229"/>
      <c r="I44" s="224"/>
      <c r="J44" s="224"/>
      <c r="K44" s="225">
        <f>IF(H44="","",IF(H44&gt;2,1,0))</f>
      </c>
      <c r="L44" s="260">
        <f>IF(O44="","",IF(O44&gt;2,1,0))</f>
      </c>
      <c r="M44" s="222"/>
      <c r="N44" s="222"/>
      <c r="O44" s="229"/>
      <c r="P44" s="230"/>
      <c r="Q44" s="230"/>
      <c r="R44" s="229"/>
      <c r="S44" s="224"/>
      <c r="T44" s="224"/>
      <c r="U44" s="225">
        <f>IF(R44="","",IF(R44&gt;2,1,0))</f>
      </c>
      <c r="V44" s="226"/>
    </row>
    <row r="45" spans="2:22" ht="21.75" customHeight="1">
      <c r="B45" s="221">
        <f>IF(E45="","",IF(E45&gt;2,1,0))</f>
      </c>
      <c r="C45" s="222"/>
      <c r="D45" s="222"/>
      <c r="E45" s="229"/>
      <c r="F45" s="230"/>
      <c r="G45" s="230"/>
      <c r="H45" s="229"/>
      <c r="I45" s="224"/>
      <c r="J45" s="224"/>
      <c r="K45" s="225">
        <f>IF(H45="","",IF(H45&gt;2,1,0))</f>
      </c>
      <c r="L45" s="260">
        <f>IF(O45="","",IF(O45&gt;2,1,0))</f>
      </c>
      <c r="M45" s="222"/>
      <c r="N45" s="222"/>
      <c r="O45" s="229"/>
      <c r="P45" s="230"/>
      <c r="Q45" s="230"/>
      <c r="R45" s="229"/>
      <c r="S45" s="224"/>
      <c r="T45" s="224"/>
      <c r="U45" s="225">
        <f>IF(R45="","",IF(R45&gt;2,1,0))</f>
      </c>
      <c r="V45" s="226"/>
    </row>
    <row r="46" spans="2:22" ht="21.75" customHeight="1">
      <c r="B46" s="221">
        <f>IF(E46="","",IF(E46&gt;2,1,0))</f>
      </c>
      <c r="C46" s="222"/>
      <c r="D46" s="222"/>
      <c r="E46" s="229"/>
      <c r="F46" s="230"/>
      <c r="G46" s="230"/>
      <c r="H46" s="229"/>
      <c r="I46" s="224"/>
      <c r="J46" s="224"/>
      <c r="K46" s="225">
        <f>IF(H46="","",IF(H46&gt;2,1,0))</f>
      </c>
      <c r="L46" s="260">
        <f>IF(O46="","",IF(O46&gt;2,1,0))</f>
      </c>
      <c r="M46" s="222"/>
      <c r="N46" s="222"/>
      <c r="O46" s="229"/>
      <c r="P46" s="230"/>
      <c r="Q46" s="230"/>
      <c r="R46" s="229"/>
      <c r="S46" s="224"/>
      <c r="T46" s="224"/>
      <c r="U46" s="225">
        <f>IF(R46="","",IF(R46&gt;2,1,0))</f>
      </c>
      <c r="V46" s="226"/>
    </row>
    <row r="47" spans="2:22" ht="21.75" customHeight="1">
      <c r="B47" s="221">
        <f>IF(E47="","",IF(E47&gt;2,1,0))</f>
      </c>
      <c r="C47" s="222"/>
      <c r="D47" s="222"/>
      <c r="E47" s="232"/>
      <c r="F47" s="230"/>
      <c r="G47" s="230"/>
      <c r="H47" s="232"/>
      <c r="I47" s="224"/>
      <c r="J47" s="224"/>
      <c r="K47" s="225">
        <f>IF(H47="","",IF(H47&gt;2,1,0))</f>
      </c>
      <c r="L47" s="260">
        <f>IF(O47="","",IF(O47&gt;2,1,0))</f>
      </c>
      <c r="M47" s="222"/>
      <c r="N47" s="222"/>
      <c r="O47" s="232"/>
      <c r="P47" s="230"/>
      <c r="Q47" s="230"/>
      <c r="R47" s="232"/>
      <c r="S47" s="224"/>
      <c r="T47" s="224"/>
      <c r="U47" s="225">
        <f>IF(R47="","",IF(R47&gt;2,1,0))</f>
      </c>
      <c r="V47" s="226"/>
    </row>
    <row r="48" spans="11:22" ht="300" customHeight="1" hidden="1" outlineLevel="1">
      <c r="K48" s="244"/>
      <c r="L48" s="234"/>
      <c r="V48" s="226"/>
    </row>
    <row r="49" spans="11:22" ht="300" customHeight="1" hidden="1" outlineLevel="1">
      <c r="K49" s="261"/>
      <c r="L49" s="234"/>
      <c r="V49" s="226"/>
    </row>
    <row r="50" spans="2:21" ht="58.5" customHeight="1">
      <c r="B50" s="226"/>
      <c r="C50" s="226"/>
      <c r="D50" s="226"/>
      <c r="E50" s="226"/>
      <c r="F50" s="226"/>
      <c r="G50" s="226"/>
      <c r="H50" s="262" t="s">
        <v>57</v>
      </c>
      <c r="I50" s="262"/>
      <c r="J50" s="262"/>
      <c r="K50" s="262"/>
      <c r="L50" s="262"/>
      <c r="M50" s="262"/>
      <c r="N50" s="262"/>
      <c r="O50" s="262"/>
      <c r="P50" s="263"/>
      <c r="Q50" s="226"/>
      <c r="R50" s="226"/>
      <c r="S50" s="226"/>
      <c r="T50" s="226"/>
      <c r="U50" s="226"/>
    </row>
    <row r="51" spans="6:17" s="189" customFormat="1" ht="27.75" customHeight="1">
      <c r="F51" s="264"/>
      <c r="G51" s="264"/>
      <c r="H51" s="265">
        <f>IF(H21="",C21,IF(C27="","",IF(I27="","",IF(C27&gt;3,C21,IF(I27&gt;3,H21,"")))))</f>
      </c>
      <c r="I51" s="265"/>
      <c r="J51" s="265"/>
      <c r="K51" s="195" t="s">
        <v>23</v>
      </c>
      <c r="L51" s="195"/>
      <c r="M51" s="266">
        <f>IF(M41="","",IF(S41="","",IF(M41&gt;3,R35,IF(S41&gt;3,M35,""))))</f>
      </c>
      <c r="N51" s="266"/>
      <c r="O51" s="266"/>
      <c r="P51" s="267"/>
      <c r="Q51" s="267"/>
    </row>
    <row r="52" spans="6:17" s="197" customFormat="1" ht="21.75" customHeight="1" outlineLevel="1">
      <c r="F52" s="264"/>
      <c r="G52" s="264"/>
      <c r="H52" s="268">
        <f>IF(H22="",C22,IF(C27="","",IF(I27="","",IF(C27&gt;3,C22,IF(I27&gt;3,H22,"")))))</f>
      </c>
      <c r="I52" s="268"/>
      <c r="J52" s="268"/>
      <c r="K52" s="269">
        <v>1</v>
      </c>
      <c r="L52" s="270">
        <v>2</v>
      </c>
      <c r="M52" s="271">
        <f>IF(M41="","",IF(S41="","",IF(M41&gt;3,R36,IF(S41&gt;3,M36,""))))</f>
      </c>
      <c r="N52" s="271"/>
      <c r="O52" s="271"/>
      <c r="P52" s="267"/>
      <c r="Q52" s="267"/>
    </row>
    <row r="53" spans="6:17" s="197" customFormat="1" ht="21.75" customHeight="1" outlineLevel="1">
      <c r="F53" s="264"/>
      <c r="G53" s="264"/>
      <c r="H53" s="268">
        <f>IF(H23="",C23,IF(C27="","",IF(I27="","",IF(C27&gt;3,C23,IF(I27&gt;3,H23,"")))))</f>
      </c>
      <c r="I53" s="268"/>
      <c r="J53" s="268"/>
      <c r="K53" s="272">
        <v>3</v>
      </c>
      <c r="L53" s="273">
        <v>4</v>
      </c>
      <c r="M53" s="271">
        <f>IF(M41="","",IF(S41="","",IF(M41&gt;3,R37,IF(S41&gt;3,M37,""))))</f>
      </c>
      <c r="N53" s="271"/>
      <c r="O53" s="271"/>
      <c r="P53" s="267"/>
      <c r="Q53" s="267"/>
    </row>
    <row r="54" spans="6:17" s="197" customFormat="1" ht="21.75" customHeight="1" outlineLevel="1">
      <c r="F54" s="264"/>
      <c r="G54" s="264"/>
      <c r="H54" s="268">
        <f>IF(H24="",C24,IF(C27="","",IF(I27="","",IF(C27&gt;3,C24,IF(I27&gt;3,H24,"")))))</f>
      </c>
      <c r="I54" s="268"/>
      <c r="J54" s="268"/>
      <c r="K54" s="272">
        <v>5</v>
      </c>
      <c r="L54" s="273">
        <v>6</v>
      </c>
      <c r="M54" s="271">
        <f>IF(M41="","",IF(S41="","",IF(M41&gt;3,R38,IF(S41&gt;3,M38,""))))</f>
      </c>
      <c r="N54" s="271"/>
      <c r="O54" s="271"/>
      <c r="P54" s="267"/>
      <c r="Q54" s="267"/>
    </row>
    <row r="55" spans="6:17" s="197" customFormat="1" ht="21.75" customHeight="1" outlineLevel="1">
      <c r="F55" s="264"/>
      <c r="G55" s="264"/>
      <c r="H55" s="268">
        <f>IF(H25="",C25,IF(C27="","",IF(I27="","",IF(C27&gt;3,C25,IF(I27&gt;3,H25,"")))))</f>
      </c>
      <c r="I55" s="268"/>
      <c r="J55" s="268"/>
      <c r="K55" s="272">
        <v>7</v>
      </c>
      <c r="L55" s="273">
        <v>8</v>
      </c>
      <c r="M55" s="271">
        <f>IF(M41="","",IF(S41="","",IF(M41&gt;3,R39,IF(S41&gt;3,M39,""))))</f>
      </c>
      <c r="N55" s="271"/>
      <c r="O55" s="271"/>
      <c r="P55" s="267"/>
      <c r="Q55" s="267"/>
    </row>
    <row r="56" spans="6:17" s="197" customFormat="1" ht="21.75" customHeight="1" outlineLevel="1">
      <c r="F56" s="264"/>
      <c r="G56" s="264"/>
      <c r="H56" s="268">
        <f>IF(H26="",C26,IF(C27="","",IF(I27="","",IF(C27&gt;3,C26,IF(I27&gt;3,H26,"")))))</f>
        <v>0</v>
      </c>
      <c r="I56" s="268"/>
      <c r="J56" s="268"/>
      <c r="K56" s="274">
        <v>9</v>
      </c>
      <c r="L56" s="275">
        <v>10</v>
      </c>
      <c r="M56" s="271">
        <f>IF(M41="","",IF(S41="","",IF(M41&gt;3,R40,IF(S41&gt;3,M40,""))))</f>
      </c>
      <c r="N56" s="271"/>
      <c r="O56" s="271"/>
      <c r="P56" s="267"/>
      <c r="Q56" s="267"/>
    </row>
    <row r="57" spans="7:16" ht="21.75" customHeight="1">
      <c r="G57" s="221">
        <f>IF(J57="","",IF(J57&gt;2,1,0))</f>
      </c>
      <c r="H57" s="222">
        <f>IF(J57="","",SUM(G57:G63))</f>
      </c>
      <c r="I57" s="222"/>
      <c r="J57" s="218"/>
      <c r="K57" s="223"/>
      <c r="L57" s="223"/>
      <c r="M57" s="218"/>
      <c r="N57" s="224">
        <f>IF(H35="",IF(M51="","",4),IF(M57="","",SUM(P57:P63)))</f>
      </c>
      <c r="O57" s="224"/>
      <c r="P57" s="225">
        <f>IF(M57="","",IF(M57&gt;2,1,0))</f>
      </c>
    </row>
    <row r="58" spans="7:16" ht="21.75" customHeight="1">
      <c r="G58" s="221">
        <f>IF(J58="","",IF(J58&gt;2,1,0))</f>
      </c>
      <c r="H58" s="222"/>
      <c r="I58" s="222"/>
      <c r="J58" s="229"/>
      <c r="K58" s="230"/>
      <c r="L58" s="230"/>
      <c r="M58" s="229"/>
      <c r="N58" s="224"/>
      <c r="O58" s="224"/>
      <c r="P58" s="225">
        <f>IF(M58="","",IF(M58&gt;2,1,0))</f>
      </c>
    </row>
    <row r="59" spans="7:16" ht="21.75" customHeight="1">
      <c r="G59" s="221">
        <f>IF(J59="","",IF(J59&gt;2,1,0))</f>
      </c>
      <c r="H59" s="222"/>
      <c r="I59" s="222"/>
      <c r="J59" s="229"/>
      <c r="K59" s="230"/>
      <c r="L59" s="230"/>
      <c r="M59" s="229"/>
      <c r="N59" s="224"/>
      <c r="O59" s="224"/>
      <c r="P59" s="225">
        <f>IF(M59="","",IF(M59&gt;2,1,0))</f>
      </c>
    </row>
    <row r="60" spans="7:16" ht="21.75" customHeight="1">
      <c r="G60" s="221">
        <f>IF(J60="","",IF(J60&gt;2,1,0))</f>
      </c>
      <c r="H60" s="222"/>
      <c r="I60" s="222"/>
      <c r="J60" s="229"/>
      <c r="K60" s="230"/>
      <c r="L60" s="230"/>
      <c r="M60" s="229"/>
      <c r="N60" s="224"/>
      <c r="O60" s="224"/>
      <c r="P60" s="225">
        <f>IF(M60="","",IF(M60&gt;2,1,0))</f>
      </c>
    </row>
    <row r="61" spans="7:16" ht="21.75" customHeight="1">
      <c r="G61" s="221">
        <f>IF(J61="","",IF(J61&gt;2,1,0))</f>
      </c>
      <c r="H61" s="222"/>
      <c r="I61" s="222"/>
      <c r="J61" s="229"/>
      <c r="K61" s="230"/>
      <c r="L61" s="230"/>
      <c r="M61" s="229"/>
      <c r="N61" s="224"/>
      <c r="O61" s="224"/>
      <c r="P61" s="225">
        <f>IF(M61="","",IF(M61&gt;2,1,0))</f>
      </c>
    </row>
    <row r="62" spans="7:16" ht="21.75" customHeight="1">
      <c r="G62" s="221">
        <f>IF(J62="","",IF(J62&gt;2,1,0))</f>
      </c>
      <c r="H62" s="222"/>
      <c r="I62" s="222"/>
      <c r="J62" s="229"/>
      <c r="K62" s="230"/>
      <c r="L62" s="230"/>
      <c r="M62" s="229"/>
      <c r="N62" s="224"/>
      <c r="O62" s="224"/>
      <c r="P62" s="225">
        <f>IF(M62="","",IF(M62&gt;2,1,0))</f>
      </c>
    </row>
    <row r="63" spans="7:16" ht="9" customHeight="1">
      <c r="G63" s="221">
        <f>IF(J63="","",IF(J63&gt;2,1,0))</f>
      </c>
      <c r="H63" s="222"/>
      <c r="I63" s="222"/>
      <c r="J63" s="232"/>
      <c r="K63" s="230"/>
      <c r="L63" s="230"/>
      <c r="M63" s="232"/>
      <c r="N63" s="224"/>
      <c r="O63" s="224"/>
      <c r="P63" s="225">
        <f>IF(M63="","",IF(M63&gt;2,1,0))</f>
      </c>
    </row>
    <row r="64" spans="2:21" ht="60" customHeight="1">
      <c r="B64" s="226"/>
      <c r="C64" s="226"/>
      <c r="D64" s="226"/>
      <c r="E64" s="226"/>
      <c r="F64" s="226"/>
      <c r="G64" s="276"/>
      <c r="H64" s="263" t="s">
        <v>58</v>
      </c>
      <c r="I64" s="263"/>
      <c r="J64" s="263"/>
      <c r="K64" s="263"/>
      <c r="L64" s="263"/>
      <c r="M64" s="263"/>
      <c r="N64" s="263"/>
      <c r="O64" s="263"/>
      <c r="P64" s="226"/>
      <c r="Q64" s="226"/>
      <c r="R64" s="226"/>
      <c r="S64" s="226"/>
      <c r="T64" s="226"/>
      <c r="U64" s="226"/>
    </row>
    <row r="65" spans="1:17" ht="27.75" customHeight="1">
      <c r="A65" s="277"/>
      <c r="F65" s="278"/>
      <c r="G65" s="278"/>
      <c r="H65" s="279" t="str">
        <f>IF(H35="",C35,IF(C41="","",IF(I41="","",IF(C41&gt;3,C35,IF(I41&gt;3,H35,"")))))</f>
        <v>USST CHARLEVILLE</v>
      </c>
      <c r="I65" s="279"/>
      <c r="J65" s="279"/>
      <c r="K65" s="195" t="s">
        <v>23</v>
      </c>
      <c r="L65" s="195"/>
      <c r="M65" s="280">
        <f>IF(M35="",R35,IF(M41="","",IF(S41="","",IF(M41&gt;3,M35,IF(S41&gt;3,R35,"")))))</f>
        <v>0</v>
      </c>
      <c r="N65" s="280"/>
      <c r="O65" s="280"/>
      <c r="P65" s="281"/>
      <c r="Q65" s="281"/>
    </row>
    <row r="66" spans="1:17" ht="21.75" customHeight="1" outlineLevel="1">
      <c r="A66" s="277"/>
      <c r="F66" s="278"/>
      <c r="G66" s="278"/>
      <c r="H66" s="282" t="str">
        <f>IF(H36="",C36,IF(C41="","",IF(I41="","",IF(C41&gt;3,C36,IF(I41&gt;3,H36,"")))))</f>
        <v>CLAISSE Didier</v>
      </c>
      <c r="I66" s="282"/>
      <c r="J66" s="282"/>
      <c r="K66" s="283">
        <v>11</v>
      </c>
      <c r="L66" s="284">
        <v>12</v>
      </c>
      <c r="M66" s="285">
        <f>IF(M36="",R36,IF(M41="","",IF(S41="","",IF(M41&gt;3,M36,IF(S41&gt;3,R36,"")))))</f>
        <v>0</v>
      </c>
      <c r="N66" s="285"/>
      <c r="O66" s="285"/>
      <c r="P66" s="281"/>
      <c r="Q66" s="281"/>
    </row>
    <row r="67" spans="1:17" ht="21.75" customHeight="1" outlineLevel="1">
      <c r="A67" s="277"/>
      <c r="F67" s="278"/>
      <c r="G67" s="278"/>
      <c r="H67" s="282" t="str">
        <f>IF(H37="",C37,IF(C41="","",IF(I41="","",IF(C41&gt;3,C37,IF(I41&gt;3,H37,"")))))</f>
        <v>PROFICET Hervé</v>
      </c>
      <c r="I67" s="282"/>
      <c r="J67" s="282"/>
      <c r="K67" s="286">
        <v>13</v>
      </c>
      <c r="L67" s="287">
        <v>14</v>
      </c>
      <c r="M67" s="285">
        <f>IF(M37="",R37,IF(M41="","",IF(S41="","",IF(M41&gt;3,M37,IF(S41&gt;3,R37,"")))))</f>
        <v>0</v>
      </c>
      <c r="N67" s="285"/>
      <c r="O67" s="285"/>
      <c r="P67" s="281"/>
      <c r="Q67" s="281"/>
    </row>
    <row r="68" spans="1:17" ht="21.75" customHeight="1" outlineLevel="1">
      <c r="A68" s="277"/>
      <c r="F68" s="278"/>
      <c r="G68" s="278"/>
      <c r="H68" s="282" t="str">
        <f>IF(H38="",C38,IF(C41="","",IF(I41="","",IF(C41&gt;3,C38,IF(I41&gt;3,H38,"")))))</f>
        <v>PROFICET Fabrice</v>
      </c>
      <c r="I68" s="282"/>
      <c r="J68" s="282"/>
      <c r="K68" s="286">
        <v>15</v>
      </c>
      <c r="L68" s="287">
        <v>16</v>
      </c>
      <c r="M68" s="285">
        <f>IF(M38="",R38,IF(M41="","",IF(S41="","",IF(M41&gt;3,M38,IF(S41&gt;3,R38,"")))))</f>
        <v>0</v>
      </c>
      <c r="N68" s="285"/>
      <c r="O68" s="285"/>
      <c r="P68" s="281"/>
      <c r="Q68" s="281"/>
    </row>
    <row r="69" spans="1:17" ht="21.75" customHeight="1" outlineLevel="1">
      <c r="A69" s="277"/>
      <c r="F69" s="278"/>
      <c r="G69" s="278"/>
      <c r="H69" s="282" t="str">
        <f>IF(H39="",C39,IF(C41="","",IF(I41="","",IF(C41&gt;3,C39,IF(I41&gt;3,H39,"")))))</f>
        <v>PROFICET Pauline</v>
      </c>
      <c r="I69" s="282"/>
      <c r="J69" s="282"/>
      <c r="K69" s="286">
        <v>17</v>
      </c>
      <c r="L69" s="287">
        <v>18</v>
      </c>
      <c r="M69" s="285">
        <f>IF(M39="",R39,IF(M41="","",IF(S41="","",IF(M41&gt;3,M39,IF(S41&gt;3,R39,"")))))</f>
        <v>0</v>
      </c>
      <c r="N69" s="285"/>
      <c r="O69" s="285"/>
      <c r="P69" s="281"/>
      <c r="Q69" s="281"/>
    </row>
    <row r="70" spans="1:17" ht="21.75" customHeight="1" outlineLevel="1">
      <c r="A70" s="277"/>
      <c r="F70" s="278"/>
      <c r="G70" s="278"/>
      <c r="H70" s="282" t="str">
        <f>IF(H40="",C40,IF(C41="","",IF(I41="","",IF(C41&gt;3,C40,IF(I41&gt;3,H40,"")))))</f>
        <v>FRERE Fabien</v>
      </c>
      <c r="I70" s="282"/>
      <c r="J70" s="282"/>
      <c r="K70" s="288">
        <v>19</v>
      </c>
      <c r="L70" s="289">
        <v>20</v>
      </c>
      <c r="M70" s="285">
        <f>IF(M40="",R40,IF(M41="","",IF(S41="","",IF(M41&gt;3,M40,IF(S41&gt;3,R40,"")))))</f>
        <v>0</v>
      </c>
      <c r="N70" s="285"/>
      <c r="O70" s="285"/>
      <c r="P70" s="281"/>
      <c r="Q70" s="281"/>
    </row>
    <row r="71" spans="1:16" ht="21.75" customHeight="1">
      <c r="A71" s="277"/>
      <c r="G71" s="290">
        <f>IF(J71="","",IF(J71&gt;2,1,0))</f>
        <v>0</v>
      </c>
      <c r="H71" s="222">
        <f>IF(J71="","",SUM(G71:G77))</f>
        <v>0</v>
      </c>
      <c r="I71" s="222"/>
      <c r="J71" s="218">
        <v>0</v>
      </c>
      <c r="K71" s="223"/>
      <c r="L71" s="223"/>
      <c r="M71" s="218">
        <v>0</v>
      </c>
      <c r="N71" s="224">
        <v>4</v>
      </c>
      <c r="O71" s="224"/>
      <c r="P71" s="225">
        <f>IF(M71="","",IF(M71&gt;2,1,0))</f>
        <v>0</v>
      </c>
    </row>
    <row r="72" spans="1:16" ht="21.75" customHeight="1">
      <c r="A72" s="277"/>
      <c r="G72" s="290">
        <f>IF(J72="","",IF(J72&gt;2,1,0))</f>
        <v>0</v>
      </c>
      <c r="H72" s="222"/>
      <c r="I72" s="222"/>
      <c r="J72" s="229">
        <v>0</v>
      </c>
      <c r="K72" s="230"/>
      <c r="L72" s="230"/>
      <c r="M72" s="229">
        <v>0</v>
      </c>
      <c r="N72" s="224"/>
      <c r="O72" s="224"/>
      <c r="P72" s="225">
        <f>IF(M72="","",IF(M72&gt;2,1,0))</f>
        <v>0</v>
      </c>
    </row>
    <row r="73" spans="1:16" ht="21.75" customHeight="1">
      <c r="A73" s="277"/>
      <c r="G73" s="290">
        <f>IF(J73="","",IF(J73&gt;2,1,0))</f>
        <v>0</v>
      </c>
      <c r="H73" s="222"/>
      <c r="I73" s="222"/>
      <c r="J73" s="229">
        <v>0</v>
      </c>
      <c r="K73" s="230"/>
      <c r="L73" s="230"/>
      <c r="M73" s="229">
        <v>0</v>
      </c>
      <c r="N73" s="224"/>
      <c r="O73" s="224"/>
      <c r="P73" s="225">
        <f>IF(M73="","",IF(M73&gt;2,1,0))</f>
        <v>0</v>
      </c>
    </row>
    <row r="74" spans="1:16" ht="21.75" customHeight="1">
      <c r="A74" s="277"/>
      <c r="G74" s="290">
        <f>IF(J74="","",IF(J74&gt;2,1,0))</f>
        <v>0</v>
      </c>
      <c r="H74" s="222"/>
      <c r="I74" s="222"/>
      <c r="J74" s="229">
        <v>0</v>
      </c>
      <c r="K74" s="230"/>
      <c r="L74" s="230"/>
      <c r="M74" s="229">
        <v>0</v>
      </c>
      <c r="N74" s="224"/>
      <c r="O74" s="224"/>
      <c r="P74" s="225">
        <f>IF(M74="","",IF(M74&gt;2,1,0))</f>
        <v>0</v>
      </c>
    </row>
    <row r="75" spans="1:16" ht="21.75" customHeight="1">
      <c r="A75" s="277"/>
      <c r="G75" s="290">
        <f>IF(J75="","",IF(J75&gt;2,1,0))</f>
        <v>0</v>
      </c>
      <c r="H75" s="222"/>
      <c r="I75" s="222"/>
      <c r="J75" s="229">
        <v>0</v>
      </c>
      <c r="K75" s="230"/>
      <c r="L75" s="230"/>
      <c r="M75" s="229">
        <v>0</v>
      </c>
      <c r="N75" s="224"/>
      <c r="O75" s="224"/>
      <c r="P75" s="225">
        <f>IF(M75="","",IF(M75&gt;2,1,0))</f>
        <v>0</v>
      </c>
    </row>
    <row r="76" spans="1:16" ht="21.75" customHeight="1">
      <c r="A76" s="277"/>
      <c r="G76" s="290">
        <f>IF(J76="","",IF(J76&gt;2,1,0))</f>
        <v>0</v>
      </c>
      <c r="H76" s="222"/>
      <c r="I76" s="222"/>
      <c r="J76" s="229">
        <v>0</v>
      </c>
      <c r="K76" s="230"/>
      <c r="L76" s="230"/>
      <c r="M76" s="229">
        <v>0</v>
      </c>
      <c r="N76" s="224"/>
      <c r="O76" s="224"/>
      <c r="P76" s="225">
        <f>IF(M76="","",IF(M76&gt;2,1,0))</f>
        <v>0</v>
      </c>
    </row>
    <row r="77" spans="1:16" ht="21.75" customHeight="1">
      <c r="A77" s="277"/>
      <c r="G77" s="290">
        <f>IF(J77="","",IF(J77&gt;2,1,0))</f>
        <v>0</v>
      </c>
      <c r="H77" s="222"/>
      <c r="I77" s="222"/>
      <c r="J77" s="232">
        <v>0</v>
      </c>
      <c r="K77" s="230"/>
      <c r="L77" s="230"/>
      <c r="M77" s="232">
        <v>0</v>
      </c>
      <c r="N77" s="224"/>
      <c r="O77" s="224"/>
      <c r="P77" s="225">
        <f>IF(M77="","",IF(M77&gt;2,1,0))</f>
        <v>0</v>
      </c>
    </row>
  </sheetData>
  <sheetProtection selectLockedCells="1" selectUnlockedCells="1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A1:A65536 B1:U3 B5:B65536 C11:E18 C25:E34 C41:E65536 F5:G65536 H11:J18 H25:J34 H41:J50 H57:I64 H71:I65536 J64:U64 J78:P65536 K5:L65536 M11:O18 M25:O34 M41:O50 N57:O64 N71:O65536 P5:Q65536 R11:T18 R25:T34 R41:T65536 U5:U65536 V1:IV65536">
    <cfRule type="expression" priority="1" dxfId="0" stopIfTrue="1">
      <formula>ISERROR(A1)</formula>
    </cfRule>
  </conditionalFormatting>
  <conditionalFormatting sqref="C5:E10 C19:E24 C35:E40 H5:J10 H19:J24 H35:J40 H51:J56 H65:J70 M5:O10 M19:O24 M35:O40 M51:O56 M65:O70 R19:T24 R35:T40">
    <cfRule type="expression" priority="2" dxfId="0" stopIfTrue="1">
      <formula>ISERROR(C5)</formula>
    </cfRule>
    <cfRule type="expression" priority="3" dxfId="0" stopIfTrue="1">
      <formula>LEN(TRIM(C5))=0</formula>
    </cfRule>
    <cfRule type="cellIs" priority="4" dxfId="0" operator="equal" stopIfTrue="1">
      <formula>0</formula>
    </cfRule>
  </conditionalFormatting>
  <conditionalFormatting sqref="J57:J63 M57:M63">
    <cfRule type="expression" priority="5" dxfId="0" stopIfTrue="1">
      <formula>ISERROR(J57)</formula>
    </cfRule>
    <cfRule type="cellIs" priority="6" dxfId="0" operator="greaterThanOrEqual" stopIfTrue="1">
      <formula>3</formula>
    </cfRule>
  </conditionalFormatting>
  <conditionalFormatting sqref="J71:J77 M71:M77">
    <cfRule type="expression" priority="7" dxfId="0" stopIfTrue="1">
      <formula>ISERROR(J71)</formula>
    </cfRule>
    <cfRule type="cellIs" priority="8" dxfId="0" operator="greaterThanOrEqual" stopIfTrue="1">
      <formula>3</formula>
    </cfRule>
  </conditionalFormatting>
  <conditionalFormatting sqref="R5:T10">
    <cfRule type="expression" priority="9" dxfId="0" stopIfTrue="1">
      <formula>ISERROR(R5)</formula>
    </cfRule>
    <cfRule type="expression" priority="10" dxfId="0" stopIfTrue="1">
      <formula>LEN(TRIM(R5))=0</formula>
    </cfRule>
    <cfRule type="cellIs" priority="11" dxfId="0" operator="equal" stopIfTrue="1">
      <formula>0</formula>
    </cfRule>
  </conditionalFormatting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="75" zoomScaleNormal="75" zoomScaleSheetLayoutView="80" workbookViewId="0" topLeftCell="A1">
      <selection activeCell="A4" sqref="A4"/>
    </sheetView>
  </sheetViews>
  <sheetFormatPr defaultColWidth="12.57421875" defaultRowHeight="12.75" outlineLevelCol="1"/>
  <cols>
    <col min="1" max="1" width="12.28125" style="291" customWidth="1"/>
    <col min="2" max="2" width="71.421875" style="291" customWidth="1"/>
    <col min="3" max="3" width="0" style="291" hidden="1" customWidth="1" outlineLevel="1"/>
    <col min="4" max="4" width="23.7109375" style="291" customWidth="1"/>
    <col min="5" max="5" width="20.28125" style="291" customWidth="1"/>
    <col min="6" max="6" width="0" style="291" hidden="1" customWidth="1"/>
    <col min="7" max="7" width="6.57421875" style="291" customWidth="1"/>
    <col min="8" max="8" width="10.00390625" style="291" customWidth="1"/>
    <col min="9" max="9" width="12.28125" style="291" customWidth="1"/>
    <col min="10" max="13" width="0" style="291" hidden="1" customWidth="1" outlineLevel="1"/>
    <col min="14" max="14" width="12.28125" style="291" customWidth="1"/>
    <col min="15" max="15" width="3.00390625" style="291" customWidth="1"/>
    <col min="16" max="16384" width="12.28125" style="291" customWidth="1"/>
  </cols>
  <sheetData>
    <row r="1" spans="1:16" ht="30" customHeight="1">
      <c r="A1" s="292" t="str">
        <f>CONCATENATE("PALMARES","  ",INFO!B6,"
","CHAMPIONNAT DE FRANCE DES CLUBS","
","10 METRES")</f>
        <v>PALMARES  17-18
CHAMPIONNAT DE FRANCE DES CLUBS
10 METRES</v>
      </c>
      <c r="B1" s="292"/>
      <c r="C1" s="292"/>
      <c r="D1" s="292"/>
      <c r="E1" s="292"/>
      <c r="F1" s="292"/>
      <c r="G1" s="292"/>
      <c r="H1" s="292"/>
      <c r="I1" s="293"/>
      <c r="J1" s="293"/>
      <c r="K1" s="294"/>
      <c r="L1" s="294"/>
      <c r="M1" s="294"/>
      <c r="N1" s="294"/>
      <c r="O1" s="295"/>
      <c r="P1" s="295"/>
    </row>
    <row r="2" spans="1:16" ht="39.75" customHeight="1">
      <c r="A2" s="292"/>
      <c r="B2" s="292"/>
      <c r="C2" s="292"/>
      <c r="D2" s="292"/>
      <c r="E2" s="292"/>
      <c r="F2" s="292"/>
      <c r="G2" s="292"/>
      <c r="H2" s="292"/>
      <c r="I2" s="293"/>
      <c r="J2" s="293"/>
      <c r="K2" s="294"/>
      <c r="L2" s="294"/>
      <c r="M2" s="294"/>
      <c r="N2" s="294"/>
      <c r="O2" s="296"/>
      <c r="P2" s="296"/>
    </row>
    <row r="3" spans="1:16" ht="39.75" customHeight="1">
      <c r="A3" s="292"/>
      <c r="B3" s="292"/>
      <c r="C3" s="292"/>
      <c r="D3" s="292"/>
      <c r="E3" s="292"/>
      <c r="F3" s="292"/>
      <c r="G3" s="292"/>
      <c r="H3" s="292"/>
      <c r="I3" s="293"/>
      <c r="J3" s="293"/>
      <c r="K3" s="294"/>
      <c r="L3" s="294"/>
      <c r="M3" s="294"/>
      <c r="N3" s="294"/>
      <c r="O3" s="296"/>
      <c r="P3" s="296"/>
    </row>
    <row r="4" spans="1:17" s="300" customFormat="1" ht="60" customHeight="1">
      <c r="A4" s="297" t="str">
        <f>CONCATENATE(INFO!B7,"   ",INFO!B9)</f>
        <v>Pistolet   CHAMPAGNE (Ardennes)</v>
      </c>
      <c r="B4" s="297"/>
      <c r="C4" s="297"/>
      <c r="D4" s="297"/>
      <c r="E4" s="297"/>
      <c r="F4" s="297"/>
      <c r="G4" s="297"/>
      <c r="H4" s="297"/>
      <c r="I4" s="298"/>
      <c r="J4" s="298"/>
      <c r="K4" s="294"/>
      <c r="L4" s="299"/>
      <c r="M4" s="299"/>
      <c r="N4" s="299"/>
      <c r="P4" s="301"/>
      <c r="Q4" s="302"/>
    </row>
    <row r="5" spans="1:17" s="300" customFormat="1" ht="22.5" customHeight="1">
      <c r="A5" s="303"/>
      <c r="B5" s="303"/>
      <c r="C5" s="303"/>
      <c r="D5" s="303"/>
      <c r="E5" s="303"/>
      <c r="F5" s="303"/>
      <c r="G5" s="303"/>
      <c r="H5" s="303"/>
      <c r="I5" s="298"/>
      <c r="J5" s="304"/>
      <c r="K5" s="305"/>
      <c r="L5" s="299"/>
      <c r="M5" s="299"/>
      <c r="N5" s="299"/>
      <c r="P5" s="301"/>
      <c r="Q5" s="302"/>
    </row>
    <row r="6" spans="1:17" s="300" customFormat="1" ht="15" customHeight="1">
      <c r="A6" s="306"/>
      <c r="B6" s="306"/>
      <c r="C6" s="306"/>
      <c r="D6" s="306"/>
      <c r="E6" s="306"/>
      <c r="F6" s="306"/>
      <c r="G6" s="306"/>
      <c r="H6" s="306"/>
      <c r="I6" s="298"/>
      <c r="J6" s="304"/>
      <c r="K6" s="305"/>
      <c r="L6" s="299"/>
      <c r="M6" s="299"/>
      <c r="N6" s="299"/>
      <c r="P6" s="301"/>
      <c r="Q6" s="302"/>
    </row>
    <row r="7" spans="1:17" s="300" customFormat="1" ht="61.5" customHeight="1">
      <c r="A7" s="307" t="s">
        <v>59</v>
      </c>
      <c r="B7" s="308" t="s">
        <v>60</v>
      </c>
      <c r="C7" s="308" t="s">
        <v>61</v>
      </c>
      <c r="D7" s="308" t="s">
        <v>62</v>
      </c>
      <c r="E7" s="309" t="s">
        <v>63</v>
      </c>
      <c r="F7" s="310" t="s">
        <v>32</v>
      </c>
      <c r="G7" s="311"/>
      <c r="H7" s="312"/>
      <c r="J7" s="313"/>
      <c r="K7" s="314"/>
      <c r="L7" s="299"/>
      <c r="M7" s="299"/>
      <c r="N7" s="299"/>
      <c r="P7" s="301"/>
      <c r="Q7" s="302"/>
    </row>
    <row r="8" spans="1:11" s="299" customFormat="1" ht="61.5" customHeight="1">
      <c r="A8" s="315">
        <v>1</v>
      </c>
      <c r="B8" s="316">
        <f>IF(A8="","",IF('P.F.'!J71="","",IF('P.F.'!H71&gt;3,'P.F.'!H65,IF('P.F.'!N71&gt;3,'P.F.'!M65,""))))</f>
        <v>0</v>
      </c>
      <c r="C8" s="317"/>
      <c r="D8" s="318">
        <f>IF(A8="","",IF(B8="","",VLOOKUP(B8,'M Q'!B$7:AI$8,2,0)))</f>
      </c>
      <c r="E8" s="319">
        <f>IF(A8="","",IF(B8="","",VLOOKUP(B8,'M Q'!B$7:AI$8,33,0)))</f>
      </c>
      <c r="F8" s="320">
        <f>IF(A8="","",IF(B8="","",VLOOKUP(B8,'M Q'!B$7:AI$8,34,0)))</f>
      </c>
      <c r="G8" s="321" t="s">
        <v>58</v>
      </c>
      <c r="H8" s="322"/>
      <c r="I8" s="314"/>
      <c r="J8" s="323"/>
      <c r="K8" s="323"/>
    </row>
    <row r="9" spans="1:11" s="299" customFormat="1" ht="61.5" customHeight="1">
      <c r="A9" s="315">
        <f>IF(INFO!B8&gt;1,2,"")</f>
      </c>
      <c r="B9" s="316">
        <f>IF(A9="","",IF('P.F.'!M71="","",IF('P.F.'!H71&gt;3,'P.F.'!M65,IF('P.F.'!N71&gt;3,'P.F.'!H65,""))))</f>
      </c>
      <c r="C9" s="317"/>
      <c r="D9" s="318">
        <f>IF(A9="","",IF(B9="","",VLOOKUP(B9,'M Q'!B$7:AI$8,2,0)))</f>
      </c>
      <c r="E9" s="319">
        <f>IF(A9="","",IF(B9="","",VLOOKUP(B9,'M Q'!B$7:AI$8,33,0)))</f>
      </c>
      <c r="F9" s="320">
        <f>IF(A9="","",IF(B9="","",VLOOKUP(B9,'M Q'!B$7:AI$8,34,0)))</f>
      </c>
      <c r="G9" s="321"/>
      <c r="H9" s="322"/>
      <c r="I9" s="323"/>
      <c r="J9" s="323"/>
      <c r="K9" s="323"/>
    </row>
    <row r="10" spans="1:11" s="299" customFormat="1" ht="61.5" customHeight="1">
      <c r="A10" s="315">
        <f>IF(INFO!B8&gt;2,3,"")</f>
      </c>
      <c r="B10" s="324">
        <f>IF(A10="","",IF(INFO!B8=3,'P.F.'!M51,IF('P.F.'!J57="","",IF('P.F.'!H57&gt;3,'P.F.'!H51,IF('P.F.'!N57&gt;3,'P.F.'!M51,"")))))</f>
      </c>
      <c r="C10" s="325"/>
      <c r="D10" s="318">
        <f>IF(A10="","",IF(B10="","",VLOOKUP(B10,'M Q'!B$7:AI$8,2,0)))</f>
      </c>
      <c r="E10" s="319">
        <f>IF(A10="","",IF(B10="","",VLOOKUP(B10,'M Q'!B$7:AI$8,33,0)))</f>
      </c>
      <c r="F10" s="320">
        <f>IF(A10="","",IF(B10="","",VLOOKUP(B10,'M Q'!B$7:AI$8,34,0)))</f>
      </c>
      <c r="G10" s="326" t="s">
        <v>64</v>
      </c>
      <c r="H10" s="327"/>
      <c r="K10" s="323"/>
    </row>
    <row r="11" spans="1:13" s="299" customFormat="1" ht="61.5" customHeight="1">
      <c r="A11" s="328">
        <f>IF(INFO!B8&gt;3,4,"")</f>
      </c>
      <c r="B11" s="329">
        <f>IF(A11="","",IF('P.F.'!M57="","",IF('P.F.'!H57&gt;3,'P.F.'!M51,IF('P.F.'!N57&gt;3,'P.F.'!H51,""))))</f>
      </c>
      <c r="C11" s="330"/>
      <c r="D11" s="318">
        <f>IF(A11="","",IF(B11="","",VLOOKUP(B11,'M Q'!B$7:AI$8,2,0)))</f>
      </c>
      <c r="E11" s="319">
        <f>IF(A11="","",IF(B11="","",VLOOKUP(B11,'M Q'!B$7:AI$8,33,0)))</f>
      </c>
      <c r="F11" s="320">
        <f>IF(A11="","",IF(B11="","",VLOOKUP(B11,'M Q'!B$7:AI$8,34,0)))</f>
      </c>
      <c r="G11" s="326"/>
      <c r="H11" s="327"/>
      <c r="I11" s="331"/>
      <c r="J11" s="332" t="s">
        <v>65</v>
      </c>
      <c r="K11" s="332"/>
      <c r="L11" s="332"/>
      <c r="M11" s="332"/>
    </row>
    <row r="12" spans="1:13" s="299" customFormat="1" ht="61.5" customHeight="1">
      <c r="A12" s="328">
        <f>IF(INFO!B8&gt;4,5,"")</f>
      </c>
      <c r="B12" s="329">
        <f>IF(A12="","",VLOOKUP(E12,J$12:M$15,3,0))</f>
      </c>
      <c r="C12" s="330"/>
      <c r="D12" s="333">
        <f>IF(A12="","",VLOOKUP(E12,J$12:M$15,4,0))</f>
      </c>
      <c r="E12" s="334">
        <f>IF(A12="","",LARGE(J12:J15,1))</f>
      </c>
      <c r="F12" s="320">
        <f>IF(A12="","",IF(B12="","",VLOOKUP(B12,'M Q'!B$7:AI$8,34,0)))</f>
      </c>
      <c r="G12" s="335" t="s">
        <v>66</v>
      </c>
      <c r="H12" s="336"/>
      <c r="I12" s="331"/>
      <c r="J12" s="337">
        <f>IF(L12="",0,VLOOKUP(L12,saisie!C$7:AL$8,36,0))</f>
        <v>0</v>
      </c>
      <c r="K12" s="338" t="e">
        <f>VLOOKUP(L12,saisie!C$7:AL$8,34,0)</f>
        <v>#N/A</v>
      </c>
      <c r="L12" s="339">
        <f>IF('P.F.'!E11="","",IF('P.F.'!C11&gt;3,'P.F.'!H5,IF('P.F.'!I11&gt;3,'P.F.'!C5,"")))</f>
      </c>
      <c r="M12" s="338" t="e">
        <f>VLOOKUP(L12,saisie!C$7:AL$8,2,0)</f>
        <v>#N/A</v>
      </c>
    </row>
    <row r="13" spans="1:13" s="299" customFormat="1" ht="61.5" customHeight="1">
      <c r="A13" s="328">
        <f>IF(INFO!B8&gt;5,6,"")</f>
      </c>
      <c r="B13" s="329">
        <f>IF(A13="","",VLOOKUP(E13,J$12:M$15,3,0))</f>
      </c>
      <c r="C13" s="330"/>
      <c r="D13" s="333">
        <f>IF(A13="","",VLOOKUP(E13,J$12:M$15,4,0))</f>
      </c>
      <c r="E13" s="334">
        <f>IF(A13="","",LARGE(J12:J15,2))</f>
      </c>
      <c r="F13" s="320">
        <f>IF(A13="","",IF(B13="","",VLOOKUP(B13,'M Q'!B$7:AI$8,34,0)))</f>
      </c>
      <c r="G13" s="335"/>
      <c r="H13" s="336"/>
      <c r="J13" s="337">
        <f>IF(L13="",0,VLOOKUP(L13,saisie!C$7:AL$8,36,0))</f>
        <v>0</v>
      </c>
      <c r="K13" s="338" t="e">
        <f>VLOOKUP(L13,saisie!C$7:AL$8,34,0)</f>
        <v>#N/A</v>
      </c>
      <c r="L13" s="339">
        <f>IF('P.F.'!O11="","",IF('P.F.'!M11&gt;3,'P.F.'!R5,IF('P.F.'!S11&gt;3,'P.F.'!M5,"")))</f>
      </c>
      <c r="M13" s="338" t="e">
        <f>VLOOKUP(L13,saisie!C$7:AL$8,2,0)</f>
        <v>#N/A</v>
      </c>
    </row>
    <row r="14" spans="1:16" s="299" customFormat="1" ht="61.5" customHeight="1">
      <c r="A14" s="340">
        <f>IF(INFO!B8&gt;6,7,"")</f>
      </c>
      <c r="B14" s="329">
        <f>IF(A14="","",VLOOKUP(E14,J$12:M$15,3,0))</f>
      </c>
      <c r="C14" s="330"/>
      <c r="D14" s="333">
        <f>IF(A14="","",VLOOKUP(E14,J$12:M$15,4,0))</f>
      </c>
      <c r="E14" s="334">
        <f>IF(A14="","",LARGE(J12:J15,3))</f>
      </c>
      <c r="F14" s="320">
        <f>IF(A14="","",IF(B14="","",VLOOKUP(B14,'M Q'!B$7:AI$8,34,0)))</f>
      </c>
      <c r="G14" s="335"/>
      <c r="H14" s="336"/>
      <c r="I14" s="331"/>
      <c r="J14" s="337">
        <f>IF(L14="",0,VLOOKUP(L14,saisie!C$7:AL$8,36,0))</f>
        <v>0</v>
      </c>
      <c r="K14" s="338" t="e">
        <f>VLOOKUP(L14,saisie!C$7:AL$8,34,0)</f>
        <v>#N/A</v>
      </c>
      <c r="L14" s="339">
        <f>IF('P.F.'!H25="","",IF('P.F.'!C25&gt;3,'P.F.'!H19,IF('P.F.'!I25&gt;3,'P.F.'!C19,"")))</f>
      </c>
      <c r="M14" s="338" t="e">
        <f>VLOOKUP(L14,saisie!C$7:AL$8,2,0)</f>
        <v>#N/A</v>
      </c>
      <c r="O14" s="323"/>
      <c r="P14" s="323"/>
    </row>
    <row r="15" spans="1:17" s="299" customFormat="1" ht="61.5" customHeight="1">
      <c r="A15" s="341">
        <f>IF(INFO!B8&gt;7,8,"")</f>
      </c>
      <c r="B15" s="329">
        <f>IF(A15="","",VLOOKUP(E15,J$12:M$15,3,0))</f>
      </c>
      <c r="C15" s="330"/>
      <c r="D15" s="333">
        <f>IF(A15="","",VLOOKUP(E15,J$12:M$15,4,0))</f>
      </c>
      <c r="E15" s="334">
        <f>IF(A15="","",LARGE(J12:J15,4))</f>
      </c>
      <c r="F15" s="320">
        <f>IF(A15="","",IF(B15="","",VLOOKUP(B15,'M Q'!B$7:AI$8,34,0)))</f>
      </c>
      <c r="G15" s="335"/>
      <c r="H15" s="336"/>
      <c r="I15" s="331"/>
      <c r="J15" s="337">
        <f>IF(L15="",0,VLOOKUP(L15,saisie!C$7:AL$8,36,0))</f>
        <v>0</v>
      </c>
      <c r="K15" s="338" t="e">
        <f>VLOOKUP(L15,saisie!C$7:AL$8,34,0)</f>
        <v>#N/A</v>
      </c>
      <c r="L15" s="339">
        <f>IF('P.F.'!R25="","",IF('P.F.'!M25&gt;3,'P.F.'!R19,IF('P.F.'!S25&gt;3,'P.F.'!M19,"")))</f>
      </c>
      <c r="M15" s="338" t="e">
        <f>VLOOKUP(L15,saisie!C$7:AL$8,2,0)</f>
        <v>#N/A</v>
      </c>
      <c r="O15" s="322"/>
      <c r="P15" s="323"/>
      <c r="Q15" s="323"/>
    </row>
    <row r="16" spans="1:17" s="299" customFormat="1" ht="61.5" customHeight="1">
      <c r="A16" s="341">
        <f>IF(INFO!B8&gt;8,9,"")</f>
      </c>
      <c r="B16" s="329">
        <f>IF(A16="","",IF('M Q'!#REF!="","",'M Q'!#REF!))</f>
      </c>
      <c r="C16" s="330"/>
      <c r="D16" s="333">
        <f>IF(A16="","",IF('M Q'!#REF!="","",'M Q'!#REF!))</f>
      </c>
      <c r="E16" s="334">
        <f>IF(A16="","",IF('M Q'!#REF!="","",'M Q'!#REF!))</f>
      </c>
      <c r="F16" s="342">
        <f>IF(A16="","",IF('M Q'!#REF!="","",'M Q'!#REF!))</f>
      </c>
      <c r="G16" s="323"/>
      <c r="H16" s="336"/>
      <c r="I16" s="331"/>
      <c r="J16" s="323"/>
      <c r="K16" s="338"/>
      <c r="L16" s="322"/>
      <c r="M16" s="322"/>
      <c r="N16" s="322"/>
      <c r="O16" s="322"/>
      <c r="P16" s="323"/>
      <c r="Q16" s="323"/>
    </row>
    <row r="17" spans="1:17" s="299" customFormat="1" ht="61.5" customHeight="1">
      <c r="A17" s="343">
        <f>IF(INFO!B8&gt;9,10,"")</f>
      </c>
      <c r="B17" s="329">
        <f>IF(A17="","",IF('M Q'!#REF!="","",'M Q'!#REF!))</f>
      </c>
      <c r="C17" s="330"/>
      <c r="D17" s="333">
        <f>IF(A17="","",IF('M Q'!#REF!="","",'M Q'!#REF!))</f>
      </c>
      <c r="E17" s="334">
        <f>IF(A17="","",IF('M Q'!#REF!="","",'M Q'!#REF!))</f>
      </c>
      <c r="F17" s="342">
        <f>IF(A17="","",IF('M Q'!#REF!="","",'M Q'!#REF!))</f>
      </c>
      <c r="G17" s="323"/>
      <c r="H17" s="336"/>
      <c r="I17" s="331"/>
      <c r="J17" s="344"/>
      <c r="K17" s="344"/>
      <c r="L17" s="344"/>
      <c r="M17" s="344"/>
      <c r="N17" s="322"/>
      <c r="O17" s="322"/>
      <c r="P17" s="323"/>
      <c r="Q17" s="323"/>
    </row>
    <row r="18" spans="1:17" s="299" customFormat="1" ht="61.5" customHeight="1">
      <c r="A18" s="341">
        <f>IF(INFO!B8&gt;10,11,"")</f>
      </c>
      <c r="B18" s="329">
        <f>IF(A18="","",IF('M Q'!#REF!="","",'M Q'!#REF!))</f>
      </c>
      <c r="C18" s="330"/>
      <c r="D18" s="333">
        <f>IF(A18="","",IF('M Q'!#REF!="","",'M Q'!#REF!))</f>
      </c>
      <c r="E18" s="334">
        <f>IF(A18="","",IF('M Q'!#REF!="","",'M Q'!#REF!))</f>
      </c>
      <c r="F18" s="342">
        <f>IF(A18="","",IF('M Q'!#REF!="","",'M Q'!#REF!))</f>
      </c>
      <c r="G18" s="323"/>
      <c r="H18" s="336"/>
      <c r="I18" s="331"/>
      <c r="J18" s="344"/>
      <c r="K18" s="344"/>
      <c r="L18" s="344"/>
      <c r="M18" s="344"/>
      <c r="N18" s="322"/>
      <c r="O18" s="322"/>
      <c r="P18" s="323"/>
      <c r="Q18" s="323"/>
    </row>
    <row r="19" spans="1:17" s="299" customFormat="1" ht="61.5" customHeight="1">
      <c r="A19" s="343">
        <f>IF(INFO!B8&gt;11,12,"")</f>
      </c>
      <c r="B19" s="329">
        <f>IF(A19="","",IF('M Q'!#REF!="","",'M Q'!#REF!))</f>
      </c>
      <c r="C19" s="330"/>
      <c r="D19" s="333">
        <f>IF(A19="","",IF('M Q'!#REF!="","",'M Q'!#REF!))</f>
      </c>
      <c r="E19" s="334">
        <f>IF(A19="","",IF('M Q'!#REF!="","",'M Q'!#REF!))</f>
      </c>
      <c r="F19" s="342">
        <f>IF(A19="","",IF('M Q'!#REF!="","",'M Q'!#REF!))</f>
      </c>
      <c r="G19" s="323"/>
      <c r="H19" s="336"/>
      <c r="I19" s="331"/>
      <c r="J19" s="344"/>
      <c r="K19" s="344"/>
      <c r="L19" s="344"/>
      <c r="M19" s="344"/>
      <c r="N19" s="322"/>
      <c r="O19" s="322"/>
      <c r="P19" s="323"/>
      <c r="Q19" s="323"/>
    </row>
    <row r="20" spans="1:17" s="299" customFormat="1" ht="61.5" customHeight="1">
      <c r="A20" s="341">
        <f>IF(INFO!B8&gt;12,13,"")</f>
      </c>
      <c r="B20" s="329">
        <f>IF(A20="","",IF('M Q'!#REF!="","",'M Q'!#REF!))</f>
      </c>
      <c r="C20" s="330"/>
      <c r="D20" s="333">
        <f>IF(A20="","",IF('M Q'!#REF!="","",'M Q'!#REF!))</f>
      </c>
      <c r="E20" s="334">
        <f>IF(A20="","",IF('M Q'!#REF!="","",'M Q'!#REF!))</f>
      </c>
      <c r="F20" s="342">
        <f>IF(A20="","",IF('M Q'!#REF!="","",'M Q'!#REF!))</f>
      </c>
      <c r="G20" s="323"/>
      <c r="H20" s="336"/>
      <c r="I20" s="331"/>
      <c r="J20" s="323"/>
      <c r="K20" s="314"/>
      <c r="L20" s="322"/>
      <c r="M20" s="322"/>
      <c r="N20" s="322"/>
      <c r="O20" s="322"/>
      <c r="P20" s="323"/>
      <c r="Q20" s="323"/>
    </row>
    <row r="21" spans="1:17" s="299" customFormat="1" ht="61.5" customHeight="1">
      <c r="A21" s="343">
        <f>IF(INFO!B8&gt;13,14,"")</f>
      </c>
      <c r="B21" s="329">
        <f>IF(A21="","",IF('M Q'!#REF!="","",'M Q'!#REF!))</f>
      </c>
      <c r="C21" s="330"/>
      <c r="D21" s="333">
        <f>IF(A21="","",IF('M Q'!#REF!="","",'M Q'!#REF!))</f>
      </c>
      <c r="E21" s="334">
        <f>IF(A21="","",IF('M Q'!#REF!="","",'M Q'!#REF!))</f>
      </c>
      <c r="F21" s="342">
        <f>IF(A21="","",IF('M Q'!#REF!="","",'M Q'!#REF!))</f>
      </c>
      <c r="G21" s="323"/>
      <c r="H21" s="336"/>
      <c r="I21" s="331"/>
      <c r="J21" s="323"/>
      <c r="K21" s="314"/>
      <c r="L21" s="322"/>
      <c r="M21" s="322"/>
      <c r="N21" s="322"/>
      <c r="O21" s="322"/>
      <c r="P21" s="323"/>
      <c r="Q21" s="323"/>
    </row>
    <row r="22" spans="1:17" s="299" customFormat="1" ht="61.5" customHeight="1">
      <c r="A22" s="341">
        <f>IF(INFO!B8&gt;14,15,"")</f>
      </c>
      <c r="B22" s="329">
        <f>IF(A22="","",IF('M Q'!#REF!="","",'M Q'!#REF!))</f>
      </c>
      <c r="C22" s="330"/>
      <c r="D22" s="333">
        <f>IF(A22="","",IF('M Q'!#REF!="","",'M Q'!#REF!))</f>
      </c>
      <c r="E22" s="334">
        <f>IF(A22="","",IF('M Q'!#REF!="","",'M Q'!#REF!))</f>
      </c>
      <c r="F22" s="342">
        <f>IF(A22="","",IF('M Q'!#REF!="","",'M Q'!#REF!))</f>
      </c>
      <c r="G22" s="323"/>
      <c r="H22" s="336"/>
      <c r="I22" s="331"/>
      <c r="J22" s="323"/>
      <c r="K22" s="314"/>
      <c r="L22" s="322"/>
      <c r="M22" s="322"/>
      <c r="N22" s="322"/>
      <c r="O22" s="322"/>
      <c r="P22" s="323"/>
      <c r="Q22" s="323"/>
    </row>
    <row r="23" spans="1:17" s="299" customFormat="1" ht="61.5" customHeight="1">
      <c r="A23" s="343">
        <f>IF(INFO!B8&gt;15,16,"")</f>
      </c>
      <c r="B23" s="329">
        <f>IF(A23="","",IF('M Q'!#REF!="","",'M Q'!#REF!))</f>
      </c>
      <c r="C23" s="330"/>
      <c r="D23" s="333">
        <f>IF(A23="","",IF('M Q'!#REF!="","",'M Q'!#REF!))</f>
      </c>
      <c r="E23" s="334">
        <f>IF(A23="","",IF('M Q'!#REF!="","",'M Q'!#REF!))</f>
      </c>
      <c r="F23" s="342">
        <f>IF(A23="","",IF('M Q'!#REF!="","",'M Q'!#REF!))</f>
      </c>
      <c r="G23" s="323"/>
      <c r="H23" s="336"/>
      <c r="I23" s="331"/>
      <c r="J23" s="323"/>
      <c r="K23" s="314"/>
      <c r="L23" s="322"/>
      <c r="M23" s="322"/>
      <c r="N23" s="322"/>
      <c r="O23" s="322"/>
      <c r="P23" s="323"/>
      <c r="Q23" s="323"/>
    </row>
    <row r="24" spans="1:17" s="299" customFormat="1" ht="61.5" customHeight="1">
      <c r="A24" s="345">
        <f>IF(INFO!B8&gt;16,17,"")</f>
      </c>
      <c r="B24" s="329">
        <f>IF(A24="","",IF('M Q'!#REF!="","",'M Q'!#REF!))</f>
      </c>
      <c r="C24" s="330"/>
      <c r="D24" s="333">
        <f>IF(A24="","",IF('M Q'!#REF!="","",'M Q'!#REF!))</f>
      </c>
      <c r="E24" s="334">
        <f>IF(A24="","",IF('M Q'!#REF!="","",'M Q'!#REF!))</f>
      </c>
      <c r="F24" s="342">
        <f>IF(A24="","",IF('M Q'!#REF!="","",'M Q'!#REF!))</f>
      </c>
      <c r="G24" s="323"/>
      <c r="H24" s="336"/>
      <c r="I24" s="331"/>
      <c r="J24" s="323"/>
      <c r="K24" s="314"/>
      <c r="L24" s="322"/>
      <c r="M24" s="322"/>
      <c r="N24" s="322"/>
      <c r="O24" s="322"/>
      <c r="P24" s="323"/>
      <c r="Q24" s="323"/>
    </row>
    <row r="25" spans="1:17" s="299" customFormat="1" ht="61.5" customHeight="1">
      <c r="A25" s="343">
        <f>IF(INFO!B8&gt;17,18,"")</f>
      </c>
      <c r="B25" s="329">
        <f>IF(A25="","",IF('M Q'!#REF!="","",'M Q'!#REF!))</f>
      </c>
      <c r="C25" s="330"/>
      <c r="D25" s="333">
        <f>IF(A25="","",IF('M Q'!#REF!="","",'M Q'!#REF!))</f>
      </c>
      <c r="E25" s="334">
        <f>IF(A25="","",IF('M Q'!#REF!="","",'M Q'!#REF!))</f>
      </c>
      <c r="F25" s="342">
        <f>IF(A25="","",IF('M Q'!#REF!="","",'M Q'!#REF!))</f>
      </c>
      <c r="G25" s="323"/>
      <c r="H25" s="336"/>
      <c r="I25" s="331"/>
      <c r="J25" s="323"/>
      <c r="K25" s="314"/>
      <c r="L25" s="322"/>
      <c r="M25" s="322"/>
      <c r="N25" s="322"/>
      <c r="O25" s="322"/>
      <c r="P25" s="323"/>
      <c r="Q25" s="323"/>
    </row>
    <row r="26" spans="1:17" s="299" customFormat="1" ht="61.5" customHeight="1">
      <c r="A26" s="341">
        <f>IF(INFO!B8&gt;18,19,"")</f>
      </c>
      <c r="B26" s="329">
        <f>IF(A26="","",IF('M Q'!#REF!="","",'M Q'!#REF!))</f>
      </c>
      <c r="C26" s="330"/>
      <c r="D26" s="333">
        <f>IF(A26="","",IF('M Q'!#REF!="","",'M Q'!#REF!))</f>
      </c>
      <c r="E26" s="334">
        <f>IF(A26="","",IF('M Q'!#REF!="","",'M Q'!#REF!))</f>
      </c>
      <c r="F26" s="342">
        <f>IF(A26="","",IF('M Q'!#REF!="","",'M Q'!#REF!))</f>
      </c>
      <c r="G26" s="323"/>
      <c r="H26" s="336"/>
      <c r="I26" s="331"/>
      <c r="J26" s="323"/>
      <c r="K26" s="314"/>
      <c r="L26" s="322"/>
      <c r="M26" s="322"/>
      <c r="N26" s="322"/>
      <c r="O26" s="322"/>
      <c r="P26" s="323"/>
      <c r="Q26" s="323"/>
    </row>
    <row r="27" spans="1:17" s="299" customFormat="1" ht="61.5" customHeight="1">
      <c r="A27" s="343">
        <f>IF(INFO!B8&gt;19,20,"")</f>
      </c>
      <c r="B27" s="329">
        <f>IF(A27="","",IF('M Q'!#REF!="","",'M Q'!#REF!))</f>
      </c>
      <c r="C27" s="330"/>
      <c r="D27" s="333">
        <f>IF(A27="","",IF('M Q'!#REF!="","",'M Q'!#REF!))</f>
      </c>
      <c r="E27" s="334">
        <f>IF(A27="","",IF('M Q'!#REF!="","",'M Q'!#REF!))</f>
      </c>
      <c r="F27" s="342">
        <f>IF(A27="","",IF('M Q'!#REF!="","",'M Q'!#REF!))</f>
      </c>
      <c r="G27" s="323"/>
      <c r="H27" s="336"/>
      <c r="I27" s="331"/>
      <c r="J27" s="323"/>
      <c r="K27" s="314"/>
      <c r="L27" s="322"/>
      <c r="M27" s="322"/>
      <c r="N27" s="322"/>
      <c r="O27" s="322"/>
      <c r="P27" s="323"/>
      <c r="Q27" s="323"/>
    </row>
    <row r="28" s="300" customFormat="1" ht="30" customHeight="1"/>
    <row r="29" s="300" customFormat="1" ht="30" customHeight="1"/>
    <row r="30" s="300" customFormat="1" ht="30" customHeight="1"/>
    <row r="31" s="300" customFormat="1" ht="30" customHeight="1"/>
    <row r="32" s="300" customFormat="1" ht="30" customHeight="1"/>
    <row r="33" s="300" customFormat="1" ht="30" customHeight="1"/>
    <row r="34" s="300" customFormat="1" ht="30" customHeight="1"/>
    <row r="35" s="300" customFormat="1" ht="30" customHeight="1"/>
    <row r="36" s="300" customFormat="1" ht="30" customHeight="1"/>
    <row r="37" s="300" customFormat="1" ht="30" customHeight="1"/>
    <row r="38" s="300" customFormat="1" ht="30" customHeight="1"/>
    <row r="39" s="300" customFormat="1" ht="30" customHeight="1"/>
    <row r="40" s="300" customFormat="1" ht="30" customHeight="1"/>
    <row r="41" s="300" customFormat="1" ht="30" customHeight="1"/>
    <row r="42" s="300" customFormat="1" ht="30" customHeight="1"/>
    <row r="43" s="300" customFormat="1" ht="30" customHeight="1"/>
    <row r="44" s="300" customFormat="1" ht="30" customHeight="1"/>
    <row r="45" s="300" customFormat="1" ht="30" customHeight="1"/>
    <row r="46" s="300" customFormat="1" ht="30" customHeight="1"/>
    <row r="47" s="300" customFormat="1" ht="30" customHeight="1"/>
    <row r="48" s="300" customFormat="1" ht="30" customHeight="1"/>
    <row r="49" s="300" customFormat="1" ht="30" customHeight="1"/>
    <row r="50" s="300" customFormat="1" ht="30" customHeight="1"/>
    <row r="51" s="300" customFormat="1" ht="30" customHeight="1"/>
    <row r="52" s="300" customFormat="1" ht="30" customHeight="1"/>
    <row r="53" s="300" customFormat="1" ht="30" customHeight="1"/>
    <row r="54" s="300" customFormat="1" ht="30" customHeight="1"/>
    <row r="55" s="300" customFormat="1" ht="30" customHeight="1"/>
    <row r="56" s="300" customFormat="1" ht="30" customHeight="1"/>
    <row r="57" s="300" customFormat="1" ht="30" customHeight="1"/>
    <row r="58" s="300" customFormat="1" ht="30" customHeight="1"/>
    <row r="59" s="300" customFormat="1" ht="30" customHeight="1"/>
    <row r="60" s="300" customFormat="1" ht="30" customHeight="1"/>
    <row r="61" s="300" customFormat="1" ht="30" customHeight="1"/>
    <row r="62" s="300" customFormat="1" ht="30" customHeight="1"/>
    <row r="63" s="300" customFormat="1" ht="30" customHeight="1"/>
    <row r="64" s="300" customFormat="1" ht="30" customHeight="1"/>
    <row r="65" s="300" customFormat="1" ht="30" customHeight="1"/>
    <row r="66" s="300" customFormat="1" ht="30" customHeight="1"/>
    <row r="67" s="300" customFormat="1" ht="30" customHeight="1"/>
    <row r="68" s="300" customFormat="1" ht="30" customHeight="1"/>
    <row r="69" s="300" customFormat="1" ht="30" customHeight="1"/>
    <row r="70" s="300" customFormat="1" ht="30" customHeight="1"/>
    <row r="71" s="300" customFormat="1" ht="30" customHeight="1"/>
    <row r="72" s="300" customFormat="1" ht="30" customHeight="1"/>
    <row r="73" s="300" customFormat="1" ht="30" customHeight="1"/>
    <row r="74" s="300" customFormat="1" ht="30" customHeight="1"/>
    <row r="75" s="300" customFormat="1" ht="30" customHeight="1"/>
    <row r="76" s="300" customFormat="1" ht="30" customHeight="1"/>
    <row r="77" s="300" customFormat="1" ht="30" customHeight="1"/>
    <row r="78" s="300" customFormat="1" ht="30" customHeight="1"/>
    <row r="79" s="300" customFormat="1" ht="30" customHeight="1"/>
    <row r="80" s="300" customFormat="1" ht="30" customHeight="1"/>
    <row r="81" s="300" customFormat="1" ht="30" customHeight="1"/>
    <row r="82" s="300" customFormat="1" ht="30" customHeight="1"/>
    <row r="83" s="300" customFormat="1" ht="30" customHeight="1"/>
    <row r="84" s="300" customFormat="1" ht="30" customHeight="1"/>
    <row r="85" s="300" customFormat="1" ht="30" customHeight="1"/>
    <row r="86" s="300" customFormat="1" ht="30" customHeight="1"/>
    <row r="87" s="300" customFormat="1" ht="30" customHeight="1"/>
    <row r="88" s="300" customFormat="1" ht="30" customHeight="1"/>
    <row r="89" s="300" customFormat="1" ht="30" customHeight="1"/>
    <row r="90" s="300" customFormat="1" ht="12.75"/>
    <row r="91" s="300" customFormat="1" ht="12.75"/>
    <row r="92" s="300" customFormat="1" ht="12.75"/>
    <row r="93" s="300" customFormat="1" ht="12.75"/>
    <row r="94" s="300" customFormat="1" ht="12.75"/>
    <row r="95" s="300" customFormat="1" ht="12.75"/>
    <row r="96" s="300" customFormat="1" ht="12.75"/>
    <row r="97" s="300" customFormat="1" ht="12.75"/>
    <row r="98" s="300" customFormat="1" ht="12.75"/>
    <row r="99" s="300" customFormat="1" ht="12.75"/>
    <row r="100" s="300" customFormat="1" ht="12.75"/>
    <row r="101" s="300" customFormat="1" ht="12.75"/>
    <row r="102" s="300" customFormat="1" ht="12.75"/>
    <row r="103" s="300" customFormat="1" ht="12.75"/>
    <row r="104" s="300" customFormat="1" ht="12.75"/>
    <row r="105" s="300" customFormat="1" ht="12.75"/>
    <row r="106" s="300" customFormat="1" ht="12.75"/>
    <row r="107" s="300" customFormat="1" ht="12.75"/>
    <row r="108" s="300" customFormat="1" ht="12.75"/>
    <row r="109" s="300" customFormat="1" ht="12.75"/>
    <row r="110" s="300" customFormat="1" ht="12.75"/>
    <row r="111" s="300" customFormat="1" ht="12.75"/>
    <row r="112" s="300" customFormat="1" ht="12.75"/>
    <row r="113" s="300" customFormat="1" ht="12.75"/>
    <row r="114" s="300" customFormat="1" ht="12.75"/>
    <row r="115" s="300" customFormat="1" ht="12.75"/>
    <row r="116" s="300" customFormat="1" ht="12.75"/>
    <row r="117" s="300" customFormat="1" ht="12.75"/>
    <row r="118" s="300" customFormat="1" ht="12.75"/>
  </sheetData>
  <sheetProtection selectLockedCells="1" selectUnlockedCells="1"/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A8:A27">
    <cfRule type="expression" priority="1" dxfId="0" stopIfTrue="1">
      <formula>LEN(TRIM(A8))=0</formula>
    </cfRule>
  </conditionalFormatting>
  <conditionalFormatting sqref="B8:F27">
    <cfRule type="cellIs" priority="2" dxfId="0" operator="equal" stopIfTrue="1">
      <formula>0</formula>
    </cfRule>
  </conditionalFormatting>
  <conditionalFormatting sqref="G12:M15 I10:J10 L4:M10 N4:N15 O8:P13 Q8:Q14 R8:IV27">
    <cfRule type="expression" priority="3" dxfId="0" stopIfTrue="1">
      <formula>ISERROR(G4)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 KIEFER</cp:lastModifiedBy>
  <dcterms:modified xsi:type="dcterms:W3CDTF">2017-12-17T23:54:07Z</dcterms:modified>
  <cp:category/>
  <cp:version/>
  <cp:contentType/>
  <cp:contentStatus/>
  <cp:revision>2</cp:revision>
</cp:coreProperties>
</file>