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66" activeTab="6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'INFO'!$A$1:$C$19</definedName>
    <definedName name="_xlnm.Print_Area" localSheetId="2">'M Q'!$A$1:$AI$26</definedName>
    <definedName name="_xlnm.Print_Area" localSheetId="5">'P.F.'!$B$1:$U$78</definedName>
    <definedName name="_xlnm.Print_Area" localSheetId="6">'PALMARES'!$A$1:$H$27</definedName>
    <definedName name="_xlnm.Print_Area" localSheetId="1">'saisie'!$A$3:$AJ$27</definedName>
    <definedName name="_xlnm.Print_Area" localSheetId="0">'INFO'!$A$1:$C$19</definedName>
    <definedName name="_xlnm.Print_Area" localSheetId="1">'saisie'!$A$3:$AJ$27</definedName>
    <definedName name="_xlnm.Print_Area" localSheetId="2">'M Q'!$A$1:$AI$26</definedName>
    <definedName name="_xlnm.Print_Area" localSheetId="3">'Clb Q (2)'!$B$1:$N$31</definedName>
    <definedName name="_xlnm.Print_Area" localSheetId="4">'Clb Q'!$B$1:$L$32</definedName>
    <definedName name="_xlnm.Print_Area" localSheetId="5">'P.F.'!$B$1:$U$78</definedName>
    <definedName name="_xlnm.Print_Area" localSheetId="6">'PALMARES'!$A$1:$H$27</definedName>
  </definedNames>
  <calcPr fullCalcOnLoad="1"/>
</workbook>
</file>

<file path=xl/sharedStrings.xml><?xml version="1.0" encoding="utf-8"?>
<sst xmlns="http://schemas.openxmlformats.org/spreadsheetml/2006/main" count="206" uniqueCount="80">
  <si>
    <t>PROGRAMME DE GESTION 
CHAMPIONNAT DE FRANCE DES CLUBS
10 METRES</t>
  </si>
  <si>
    <t>COMPETITION</t>
  </si>
  <si>
    <t>date :</t>
  </si>
  <si>
    <t>lieu :</t>
  </si>
  <si>
    <t>Villers- Semeuse</t>
  </si>
  <si>
    <t>saison :</t>
  </si>
  <si>
    <t>18-19</t>
  </si>
  <si>
    <t>Discipline :</t>
  </si>
  <si>
    <t>CARABINE</t>
  </si>
  <si>
    <t>(CARABINE ou PISTOLET)</t>
  </si>
  <si>
    <t>Nombre d'équipe :</t>
  </si>
  <si>
    <t>LIGUE :</t>
  </si>
  <si>
    <t>ARDENNES (CHAMPAGNE)</t>
  </si>
  <si>
    <t>(EN MAJUSCULE)</t>
  </si>
  <si>
    <t>RESPONSABLE DE LA SAISIE</t>
  </si>
  <si>
    <t>NOM Prénom :</t>
  </si>
  <si>
    <t>KIEFER Françoise</t>
  </si>
  <si>
    <t>téléphone :</t>
  </si>
  <si>
    <t>adresse électronique :</t>
  </si>
  <si>
    <t>kiefer.daniel01@orange.fr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</si>
  <si>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</si>
  <si>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</si>
  <si>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</si>
  <si>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</si>
  <si>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</si>
  <si>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Cl.</t>
  </si>
  <si>
    <t>CLUB</t>
  </si>
  <si>
    <t>N° club</t>
  </si>
  <si>
    <t>Nom</t>
  </si>
  <si>
    <t>Séries</t>
  </si>
  <si>
    <t>Total</t>
  </si>
  <si>
    <t>M*</t>
  </si>
  <si>
    <t>TT</t>
  </si>
  <si>
    <t>Bar.</t>
  </si>
  <si>
    <t>TOTAL</t>
  </si>
  <si>
    <t>1er Tireur</t>
  </si>
  <si>
    <t>2ème Tireur</t>
  </si>
  <si>
    <t>3ème Tireur</t>
  </si>
  <si>
    <t>4ème Tireur</t>
  </si>
  <si>
    <t>5ème Tireur</t>
  </si>
  <si>
    <t>EAC THIN-LE-MOUTIER</t>
  </si>
  <si>
    <t>BOCQUET Corentin</t>
  </si>
  <si>
    <t>LESIEUR Christophe</t>
  </si>
  <si>
    <t>BROUSMICHE Lucas</t>
  </si>
  <si>
    <t>LESIEUR Jules</t>
  </si>
  <si>
    <t>QUIMPER Meryn</t>
  </si>
  <si>
    <t>LA MOUCHE REMILLY</t>
  </si>
  <si>
    <t>BISTON Mélissa</t>
  </si>
  <si>
    <t>GOHLKE Alexandra</t>
  </si>
  <si>
    <t>MORGEON Christelle</t>
  </si>
  <si>
    <t>COUSTEIX Crystale</t>
  </si>
  <si>
    <t>ETIENNE Doreen</t>
  </si>
  <si>
    <t>USTIR CHARLEVILLE</t>
  </si>
  <si>
    <t>VERDURE Valentine</t>
  </si>
  <si>
    <t>GOURIET Nicolas</t>
  </si>
  <si>
    <t>DELILLE Théo</t>
  </si>
  <si>
    <t>PROFICET Quentin</t>
  </si>
  <si>
    <t>NOE Pierre</t>
  </si>
  <si>
    <t>séries</t>
  </si>
  <si>
    <t>M* TT</t>
  </si>
  <si>
    <t>CLUB N°1</t>
  </si>
  <si>
    <t>NOMS</t>
  </si>
  <si>
    <t>série 1</t>
  </si>
  <si>
    <t>série 2</t>
  </si>
  <si>
    <t>série 3</t>
  </si>
  <si>
    <t>POINTS</t>
  </si>
  <si>
    <t>CLUB N°2</t>
  </si>
  <si>
    <t>CLUBS QUALIFIES EN PHASE FINALE</t>
  </si>
  <si>
    <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</si>
  <si>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DEMI-FINALES</t>
  </si>
  <si>
    <t>PETITE FINALE</t>
  </si>
  <si>
    <t>FINALE</t>
  </si>
  <si>
    <t>PLACE</t>
  </si>
  <si>
    <t>CLUBS</t>
  </si>
  <si>
    <t>LIGUE</t>
  </si>
  <si>
    <t>n° CLUB</t>
  </si>
  <si>
    <t>M Q</t>
  </si>
  <si>
    <t>PETITE
FINALEPETITE
FINALE</t>
  </si>
  <si>
    <t>1/4 finalistes sortants</t>
  </si>
  <si>
    <t>1 / 4   FINALES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</si>
</sst>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 MMMM\ YYYY;@"/>
    <numFmt numFmtId="166" formatCode="0"/>
    <numFmt numFmtId="167" formatCode="#\.##\.###"/>
    <numFmt numFmtId="168" formatCode="0.0000000000000000"/>
    <numFmt numFmtId="169" formatCode="0.0000000000"/>
    <numFmt numFmtId="170" formatCode="0.000000000"/>
    <numFmt numFmtId="171" formatCode="DD\-MMM"/>
    <numFmt numFmtId="172" formatCode="0.0000000000000000000"/>
  </numFmts>
  <fonts count="76">
    <font>
      <sz val="10"/>
      <name val="Arial"/>
      <family val="2"/>
    </font>
    <font>
      <sz val="10"/>
      <name val="Verdana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36"/>
      <name val="Helvetica Neue"/>
      <family val="0"/>
    </font>
    <font>
      <b/>
      <sz val="28"/>
      <color indexed="46"/>
      <name val="Helvetica Neue"/>
      <family val="0"/>
    </font>
    <font>
      <b/>
      <sz val="30"/>
      <name val="Helvetica Neue"/>
      <family val="0"/>
    </font>
    <font>
      <b/>
      <sz val="32"/>
      <name val="Helvetica Neue"/>
      <family val="0"/>
    </font>
    <font>
      <sz val="30"/>
      <name val="Helvetica Neue"/>
      <family val="0"/>
    </font>
    <font>
      <b/>
      <sz val="28"/>
      <name val="Helvetica Neue"/>
      <family val="0"/>
    </font>
    <font>
      <b/>
      <sz val="80"/>
      <name val="Helvetica Neue"/>
      <family val="0"/>
    </font>
    <font>
      <b/>
      <sz val="50"/>
      <color indexed="9"/>
      <name val="Helvetica Neue"/>
      <family val="0"/>
    </font>
    <font>
      <sz val="50"/>
      <color indexed="9"/>
      <name val="Helvetica Neue"/>
      <family val="0"/>
    </font>
    <font>
      <sz val="50"/>
      <name val="Helvetica Neue"/>
      <family val="0"/>
    </font>
    <font>
      <b/>
      <sz val="50"/>
      <color indexed="23"/>
      <name val="Helvetica Neue"/>
      <family val="0"/>
    </font>
    <font>
      <b/>
      <sz val="50"/>
      <name val="Helvetica Neue"/>
      <family val="0"/>
    </font>
    <font>
      <b/>
      <sz val="34"/>
      <color indexed="10"/>
      <name val="Helvetica Neue"/>
      <family val="0"/>
    </font>
    <font>
      <b/>
      <sz val="40"/>
      <color indexed="9"/>
      <name val="Helvetica Neue"/>
      <family val="0"/>
    </font>
    <font>
      <sz val="40"/>
      <color indexed="9"/>
      <name val="Helvetica Neue"/>
      <family val="0"/>
    </font>
    <font>
      <b/>
      <sz val="32"/>
      <color indexed="23"/>
      <name val="Helvetica Neue"/>
      <family val="0"/>
    </font>
    <font>
      <b/>
      <sz val="30"/>
      <color indexed="24"/>
      <name val="Helvetica Neue"/>
      <family val="0"/>
    </font>
    <font>
      <b/>
      <sz val="72"/>
      <name val="Helvetica Neue"/>
      <family val="0"/>
    </font>
    <font>
      <b/>
      <sz val="40"/>
      <color indexed="46"/>
      <name val="Helvetica Neue"/>
      <family val="0"/>
    </font>
    <font>
      <sz val="24"/>
      <name val="Helvetica Neue"/>
      <family val="0"/>
    </font>
    <font>
      <b/>
      <sz val="34"/>
      <color indexed="46"/>
      <name val="Helvetica Neue"/>
      <family val="0"/>
    </font>
    <font>
      <sz val="12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25"/>
      <name val="Arial Blac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50"/>
      <name val="Arial"/>
      <family val="2"/>
    </font>
    <font>
      <b/>
      <sz val="50"/>
      <color indexed="55"/>
      <name val="Arial"/>
      <family val="2"/>
    </font>
    <font>
      <b/>
      <sz val="30"/>
      <name val="Arial"/>
      <family val="2"/>
    </font>
    <font>
      <b/>
      <sz val="40"/>
      <name val="Arial"/>
      <family val="2"/>
    </font>
    <font>
      <b/>
      <sz val="16"/>
      <color indexed="9"/>
      <name val="Arial Narrow"/>
      <family val="2"/>
    </font>
    <font>
      <sz val="10"/>
      <color indexed="55"/>
      <name val="Arial Narrow"/>
      <family val="2"/>
    </font>
    <font>
      <b/>
      <sz val="14"/>
      <color indexed="9"/>
      <name val="Arial Narrow"/>
      <family val="2"/>
    </font>
    <font>
      <b/>
      <sz val="15"/>
      <color indexed="9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60"/>
      <name val="Arial Narrow"/>
      <family val="2"/>
    </font>
    <font>
      <b/>
      <sz val="15"/>
      <name val="Arial Narrow"/>
      <family val="2"/>
    </font>
    <font>
      <sz val="12"/>
      <name val="Arial Narrow"/>
      <family val="2"/>
    </font>
    <font>
      <sz val="48"/>
      <color indexed="18"/>
      <name val="Arial Black"/>
      <family val="0"/>
    </font>
    <font>
      <sz val="48"/>
      <name val="Arial Black"/>
      <family val="0"/>
    </font>
    <font>
      <b/>
      <sz val="12"/>
      <name val="Arial Narrow"/>
      <family val="2"/>
    </font>
    <font>
      <sz val="50"/>
      <color indexed="55"/>
      <name val="Arial Black"/>
      <family val="0"/>
    </font>
    <font>
      <sz val="45"/>
      <color indexed="18"/>
      <name val="Arial Black"/>
      <family val="0"/>
    </font>
    <font>
      <sz val="18"/>
      <name val="Arial Narrow"/>
      <family val="2"/>
    </font>
    <font>
      <sz val="30"/>
      <name val="Arial Black"/>
      <family val="0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color indexed="18"/>
      <name val="Arial Black"/>
      <family val="0"/>
    </font>
    <font>
      <b/>
      <sz val="18"/>
      <color indexed="23"/>
      <name val="Arial Narrow"/>
      <family val="2"/>
    </font>
    <font>
      <sz val="15"/>
      <color indexed="55"/>
      <name val="Arial Narrow"/>
      <family val="2"/>
    </font>
    <font>
      <b/>
      <sz val="18"/>
      <color indexed="9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sz val="18"/>
      <color indexed="55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b/>
      <sz val="22"/>
      <name val="Arial Narrow"/>
      <family val="2"/>
    </font>
    <font>
      <sz val="20"/>
      <color indexed="46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 style="thick">
        <color indexed="8"/>
      </top>
      <bottom>
        <color indexed="63"/>
      </bottom>
    </border>
    <border>
      <left style="thick">
        <color indexed="9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 style="thick">
        <color indexed="8"/>
      </bottom>
    </border>
    <border>
      <left style="thick">
        <color indexed="9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</cellStyleXfs>
  <cellXfs count="370">
    <xf numFmtId="164" fontId="0" fillId="0" borderId="0" xfId="0" applyAlignment="1">
      <alignment/>
    </xf>
    <xf numFmtId="164" fontId="0" fillId="0" borderId="0" xfId="22" applyFont="1" applyProtection="1">
      <alignment/>
      <protection/>
    </xf>
    <xf numFmtId="164" fontId="2" fillId="2" borderId="0" xfId="22" applyFont="1" applyFill="1" applyBorder="1" applyAlignment="1" applyProtection="1">
      <alignment horizontal="center" vertical="center" wrapText="1"/>
      <protection/>
    </xf>
    <xf numFmtId="164" fontId="3" fillId="0" borderId="0" xfId="22" applyFont="1" applyFill="1" applyBorder="1" applyAlignment="1" applyProtection="1">
      <alignment horizontal="center" vertical="center"/>
      <protection/>
    </xf>
    <xf numFmtId="164" fontId="4" fillId="2" borderId="0" xfId="22" applyFont="1" applyFill="1" applyBorder="1" applyAlignment="1" applyProtection="1">
      <alignment horizontal="center" vertical="center"/>
      <protection/>
    </xf>
    <xf numFmtId="164" fontId="5" fillId="0" borderId="0" xfId="22" applyFont="1" applyFill="1" applyBorder="1" applyAlignment="1" applyProtection="1">
      <alignment horizontal="right" vertical="center"/>
      <protection/>
    </xf>
    <xf numFmtId="165" fontId="5" fillId="0" borderId="1" xfId="22" applyNumberFormat="1" applyFont="1" applyFill="1" applyBorder="1" applyAlignment="1" applyProtection="1">
      <alignment horizontal="left" vertical="center"/>
      <protection locked="0"/>
    </xf>
    <xf numFmtId="164" fontId="5" fillId="0" borderId="0" xfId="22" applyFont="1" applyFill="1" applyBorder="1" applyAlignment="1" applyProtection="1">
      <alignment horizontal="left" vertical="center" indent="1"/>
      <protection/>
    </xf>
    <xf numFmtId="165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2" xfId="22" applyNumberFormat="1" applyFont="1" applyFill="1" applyBorder="1" applyAlignment="1" applyProtection="1">
      <alignment horizontal="left" vertical="center"/>
      <protection locked="0"/>
    </xf>
    <xf numFmtId="166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0" xfId="21" applyFont="1" applyFill="1" applyBorder="1" applyAlignment="1" applyProtection="1">
      <alignment horizontal="right" vertical="center" wrapText="1"/>
      <protection/>
    </xf>
    <xf numFmtId="164" fontId="5" fillId="0" borderId="1" xfId="22" applyFont="1" applyFill="1" applyBorder="1" applyAlignment="1" applyProtection="1">
      <alignment horizontal="left" vertical="center"/>
      <protection locked="0"/>
    </xf>
    <xf numFmtId="164" fontId="5" fillId="0" borderId="0" xfId="22" applyFont="1" applyAlignment="1" applyProtection="1">
      <alignment vertical="center"/>
      <protection/>
    </xf>
    <xf numFmtId="164" fontId="5" fillId="0" borderId="0" xfId="22" applyFont="1" applyAlignment="1" applyProtection="1">
      <alignment horizontal="left" vertical="center"/>
      <protection/>
    </xf>
    <xf numFmtId="165" fontId="5" fillId="0" borderId="1" xfId="22" applyNumberFormat="1" applyFont="1" applyFill="1" applyBorder="1" applyAlignment="1" applyProtection="1">
      <alignment horizontal="left" vertical="center" indent="2"/>
      <protection locked="0"/>
    </xf>
    <xf numFmtId="165" fontId="5" fillId="0" borderId="0" xfId="22" applyNumberFormat="1" applyFont="1" applyFill="1" applyBorder="1" applyAlignment="1" applyProtection="1">
      <alignment horizontal="left" vertical="center" indent="2"/>
      <protection/>
    </xf>
    <xf numFmtId="164" fontId="5" fillId="0" borderId="2" xfId="22" applyFont="1" applyFill="1" applyBorder="1" applyAlignment="1" applyProtection="1">
      <alignment horizontal="left" vertical="center" indent="1"/>
      <protection locked="0"/>
    </xf>
    <xf numFmtId="164" fontId="6" fillId="0" borderId="2" xfId="20" applyNumberFormat="1" applyFont="1" applyFill="1" applyBorder="1" applyAlignment="1" applyProtection="1">
      <alignment horizontal="left" vertical="center" indent="1"/>
      <protection locked="0"/>
    </xf>
    <xf numFmtId="164" fontId="7" fillId="0" borderId="0" xfId="20" applyNumberFormat="1" applyFont="1" applyFill="1" applyBorder="1" applyAlignment="1" applyProtection="1">
      <alignment horizontal="left" vertical="center" indent="1"/>
      <protection/>
    </xf>
    <xf numFmtId="164" fontId="5" fillId="0" borderId="0" xfId="22" applyFont="1" applyFill="1" applyBorder="1" applyAlignment="1" applyProtection="1">
      <alignment horizontal="justify" vertical="center" wrapText="1"/>
      <protection/>
    </xf>
    <xf numFmtId="164" fontId="8" fillId="0" borderId="0" xfId="22" applyFont="1" applyFill="1" applyBorder="1" applyAlignment="1" applyProtection="1">
      <alignment horizontal="left" vertical="center" indent="5"/>
      <protection/>
    </xf>
    <xf numFmtId="164" fontId="5" fillId="0" borderId="0" xfId="22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center" indent="5"/>
      <protection/>
    </xf>
    <xf numFmtId="164" fontId="9" fillId="0" borderId="0" xfId="20" applyNumberFormat="1" applyFont="1" applyFill="1" applyBorder="1" applyAlignment="1" applyProtection="1">
      <alignment horizontal="left" vertical="top"/>
      <protection/>
    </xf>
    <xf numFmtId="164" fontId="8" fillId="0" borderId="0" xfId="22" applyFont="1" applyFill="1" applyBorder="1" applyAlignment="1" applyProtection="1">
      <alignment horizontal="left" vertical="top" indent="5"/>
      <protection/>
    </xf>
    <xf numFmtId="164" fontId="0" fillId="0" borderId="0" xfId="20" applyNumberFormat="1" applyFont="1" applyFill="1" applyBorder="1" applyAlignment="1" applyProtection="1">
      <alignment horizontal="left" vertical="top"/>
      <protection/>
    </xf>
    <xf numFmtId="164" fontId="10" fillId="0" borderId="0" xfId="22" applyFont="1" applyFill="1" applyAlignment="1">
      <alignment horizontal="center" vertical="center"/>
      <protection/>
    </xf>
    <xf numFmtId="164" fontId="11" fillId="0" borderId="0" xfId="22" applyFont="1" applyFill="1" applyAlignment="1">
      <alignment horizontal="center" vertical="center"/>
      <protection/>
    </xf>
    <xf numFmtId="164" fontId="12" fillId="0" borderId="0" xfId="22" applyFont="1" applyFill="1" applyAlignment="1">
      <alignment horizontal="center" vertical="center"/>
      <protection/>
    </xf>
    <xf numFmtId="164" fontId="13" fillId="0" borderId="0" xfId="22" applyFont="1" applyFill="1" applyAlignment="1">
      <alignment horizontal="center" vertical="center"/>
      <protection/>
    </xf>
    <xf numFmtId="164" fontId="13" fillId="0" borderId="0" xfId="22" applyFont="1" applyFill="1" applyBorder="1" applyAlignment="1">
      <alignment horizontal="center" vertical="center"/>
      <protection/>
    </xf>
    <xf numFmtId="164" fontId="12" fillId="0" borderId="0" xfId="22" applyFont="1" applyFill="1" applyBorder="1" applyAlignment="1">
      <alignment horizontal="center" vertical="center"/>
      <protection/>
    </xf>
    <xf numFmtId="164" fontId="14" fillId="0" borderId="0" xfId="22" applyFont="1" applyFill="1" applyBorder="1" applyAlignment="1">
      <alignment horizontal="center" vertical="center"/>
      <protection/>
    </xf>
    <xf numFmtId="164" fontId="15" fillId="0" borderId="0" xfId="22" applyFont="1" applyFill="1" applyAlignment="1">
      <alignment horizontal="center" vertical="center"/>
      <protection/>
    </xf>
    <xf numFmtId="164" fontId="10" fillId="0" borderId="0" xfId="22" applyFont="1" applyFill="1" applyBorder="1" applyAlignment="1">
      <alignment horizontal="center" vertical="center"/>
      <protection/>
    </xf>
    <xf numFmtId="164" fontId="16" fillId="0" borderId="3" xfId="22" applyFont="1" applyFill="1" applyBorder="1" applyAlignment="1">
      <alignment horizontal="center" vertical="center"/>
      <protection/>
    </xf>
    <xf numFmtId="164" fontId="17" fillId="3" borderId="4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/>
      <protection/>
    </xf>
    <xf numFmtId="164" fontId="17" fillId="3" borderId="7" xfId="22" applyFont="1" applyFill="1" applyBorder="1" applyAlignment="1">
      <alignment horizontal="center" vertical="center"/>
      <protection/>
    </xf>
    <xf numFmtId="164" fontId="17" fillId="3" borderId="8" xfId="22" applyFont="1" applyFill="1" applyBorder="1" applyAlignment="1">
      <alignment horizontal="center" vertical="center"/>
      <protection/>
    </xf>
    <xf numFmtId="164" fontId="17" fillId="3" borderId="9" xfId="22" applyFont="1" applyFill="1" applyBorder="1" applyAlignment="1">
      <alignment horizontal="center" vertical="center"/>
      <protection/>
    </xf>
    <xf numFmtId="164" fontId="17" fillId="3" borderId="10" xfId="22" applyFont="1" applyFill="1" applyBorder="1" applyAlignment="1">
      <alignment horizontal="center" vertical="center"/>
      <protection/>
    </xf>
    <xf numFmtId="164" fontId="17" fillId="3" borderId="11" xfId="22" applyFont="1" applyFill="1" applyBorder="1" applyAlignment="1">
      <alignment horizontal="center" vertical="center"/>
      <protection/>
    </xf>
    <xf numFmtId="164" fontId="17" fillId="3" borderId="12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 wrapText="1"/>
      <protection/>
    </xf>
    <xf numFmtId="164" fontId="17" fillId="3" borderId="4" xfId="22" applyFont="1" applyFill="1" applyBorder="1" applyAlignment="1">
      <alignment horizontal="center" vertical="center"/>
      <protection/>
    </xf>
    <xf numFmtId="164" fontId="18" fillId="3" borderId="6" xfId="22" applyFont="1" applyFill="1" applyBorder="1" applyAlignment="1">
      <alignment horizontal="center" vertical="center"/>
      <protection/>
    </xf>
    <xf numFmtId="164" fontId="19" fillId="0" borderId="0" xfId="22" applyFont="1" applyFill="1" applyAlignment="1">
      <alignment horizontal="center" vertical="center"/>
      <protection/>
    </xf>
    <xf numFmtId="164" fontId="20" fillId="0" borderId="13" xfId="22" applyFont="1" applyFill="1" applyBorder="1" applyAlignment="1">
      <alignment horizontal="center" vertical="center" wrapText="1"/>
      <protection/>
    </xf>
    <xf numFmtId="164" fontId="21" fillId="0" borderId="0" xfId="22" applyFont="1" applyFill="1" applyAlignment="1">
      <alignment horizontal="center" vertical="center"/>
      <protection/>
    </xf>
    <xf numFmtId="164" fontId="17" fillId="3" borderId="14" xfId="22" applyFont="1" applyFill="1" applyBorder="1" applyAlignment="1">
      <alignment horizontal="center" vertical="center"/>
      <protection/>
    </xf>
    <xf numFmtId="164" fontId="17" fillId="3" borderId="15" xfId="22" applyFont="1" applyFill="1" applyBorder="1" applyAlignment="1">
      <alignment horizontal="center" vertical="center"/>
      <protection/>
    </xf>
    <xf numFmtId="164" fontId="17" fillId="3" borderId="16" xfId="22" applyFont="1" applyFill="1" applyBorder="1" applyAlignment="1">
      <alignment horizontal="center" vertical="center"/>
      <protection/>
    </xf>
    <xf numFmtId="164" fontId="17" fillId="3" borderId="17" xfId="22" applyFont="1" applyFill="1" applyBorder="1" applyAlignment="1">
      <alignment horizontal="center" vertical="center"/>
      <protection/>
    </xf>
    <xf numFmtId="164" fontId="17" fillId="3" borderId="18" xfId="22" applyFont="1" applyFill="1" applyBorder="1" applyAlignment="1">
      <alignment horizontal="center" vertical="center"/>
      <protection/>
    </xf>
    <xf numFmtId="164" fontId="22" fillId="0" borderId="19" xfId="22" applyFont="1" applyFill="1" applyBorder="1" applyAlignment="1">
      <alignment horizontal="center" vertical="center"/>
      <protection/>
    </xf>
    <xf numFmtId="164" fontId="12" fillId="0" borderId="19" xfId="22" applyFont="1" applyFill="1" applyBorder="1" applyAlignment="1" applyProtection="1">
      <alignment horizontal="center" vertical="center"/>
      <protection locked="0"/>
    </xf>
    <xf numFmtId="167" fontId="12" fillId="0" borderId="20" xfId="22" applyNumberFormat="1" applyFont="1" applyFill="1" applyBorder="1" applyAlignment="1" applyProtection="1">
      <alignment horizontal="center" vertical="center"/>
      <protection locked="0"/>
    </xf>
    <xf numFmtId="164" fontId="12" fillId="0" borderId="21" xfId="22" applyFont="1" applyFill="1" applyBorder="1" applyAlignment="1" applyProtection="1">
      <alignment horizontal="center" vertical="center"/>
      <protection locked="0"/>
    </xf>
    <xf numFmtId="164" fontId="13" fillId="0" borderId="22" xfId="22" applyNumberFormat="1" applyFont="1" applyFill="1" applyBorder="1" applyAlignment="1" applyProtection="1">
      <alignment horizontal="center" vertical="center"/>
      <protection locked="0"/>
    </xf>
    <xf numFmtId="164" fontId="23" fillId="3" borderId="22" xfId="22" applyNumberFormat="1" applyFont="1" applyFill="1" applyBorder="1" applyAlignment="1">
      <alignment horizontal="center" vertical="center"/>
      <protection/>
    </xf>
    <xf numFmtId="166" fontId="13" fillId="0" borderId="23" xfId="22" applyNumberFormat="1" applyFont="1" applyFill="1" applyBorder="1" applyAlignment="1" applyProtection="1">
      <alignment horizontal="center" vertical="center"/>
      <protection locked="0"/>
    </xf>
    <xf numFmtId="164" fontId="12" fillId="0" borderId="18" xfId="22" applyFont="1" applyFill="1" applyBorder="1" applyAlignment="1" applyProtection="1">
      <alignment horizontal="center" vertical="center"/>
      <protection locked="0"/>
    </xf>
    <xf numFmtId="164" fontId="13" fillId="0" borderId="19" xfId="22" applyNumberFormat="1" applyFont="1" applyFill="1" applyBorder="1" applyAlignment="1" applyProtection="1">
      <alignment horizontal="center" vertical="center"/>
      <protection locked="0"/>
    </xf>
    <xf numFmtId="164" fontId="23" fillId="3" borderId="19" xfId="22" applyNumberFormat="1" applyFont="1" applyFill="1" applyBorder="1" applyAlignment="1">
      <alignment horizontal="center" vertical="center"/>
      <protection/>
    </xf>
    <xf numFmtId="166" fontId="13" fillId="0" borderId="20" xfId="22" applyNumberFormat="1" applyFont="1" applyFill="1" applyBorder="1" applyAlignment="1" applyProtection="1">
      <alignment horizontal="center" vertical="center"/>
      <protection locked="0"/>
    </xf>
    <xf numFmtId="164" fontId="23" fillId="3" borderId="18" xfId="22" applyNumberFormat="1" applyFont="1" applyFill="1" applyBorder="1" applyAlignment="1">
      <alignment horizontal="center" vertical="center"/>
      <protection/>
    </xf>
    <xf numFmtId="166" fontId="24" fillId="3" borderId="20" xfId="22" applyNumberFormat="1" applyFont="1" applyFill="1" applyBorder="1" applyAlignment="1" applyProtection="1">
      <alignment horizontal="center" vertical="center"/>
      <protection locked="0"/>
    </xf>
    <xf numFmtId="164" fontId="15" fillId="0" borderId="0" xfId="22" applyFont="1" applyFill="1" applyBorder="1" applyAlignment="1">
      <alignment horizontal="center" vertical="center"/>
      <protection/>
    </xf>
    <xf numFmtId="168" fontId="25" fillId="0" borderId="13" xfId="22" applyNumberFormat="1" applyFont="1" applyFill="1" applyBorder="1" applyAlignment="1">
      <alignment horizontal="center" vertical="center"/>
      <protection/>
    </xf>
    <xf numFmtId="164" fontId="17" fillId="3" borderId="24" xfId="22" applyFont="1" applyFill="1" applyBorder="1" applyAlignment="1">
      <alignment horizontal="center" vertical="center"/>
      <protection/>
    </xf>
    <xf numFmtId="164" fontId="22" fillId="0" borderId="25" xfId="22" applyFont="1" applyFill="1" applyBorder="1" applyAlignment="1">
      <alignment horizontal="center" vertical="center"/>
      <protection/>
    </xf>
    <xf numFmtId="164" fontId="12" fillId="0" borderId="25" xfId="22" applyFont="1" applyFill="1" applyBorder="1" applyAlignment="1" applyProtection="1">
      <alignment horizontal="center" vertical="center"/>
      <protection locked="0"/>
    </xf>
    <xf numFmtId="167" fontId="12" fillId="0" borderId="26" xfId="22" applyNumberFormat="1" applyFont="1" applyFill="1" applyBorder="1" applyAlignment="1" applyProtection="1">
      <alignment horizontal="center" vertical="center"/>
      <protection locked="0"/>
    </xf>
    <xf numFmtId="164" fontId="12" fillId="0" borderId="27" xfId="22" applyFont="1" applyFill="1" applyBorder="1" applyAlignment="1" applyProtection="1">
      <alignment horizontal="center" vertical="center"/>
      <protection locked="0"/>
    </xf>
    <xf numFmtId="164" fontId="13" fillId="0" borderId="13" xfId="22" applyNumberFormat="1" applyFont="1" applyFill="1" applyBorder="1" applyAlignment="1" applyProtection="1">
      <alignment horizontal="center" vertical="center"/>
      <protection locked="0"/>
    </xf>
    <xf numFmtId="164" fontId="23" fillId="3" borderId="13" xfId="22" applyNumberFormat="1" applyFont="1" applyFill="1" applyBorder="1" applyAlignment="1">
      <alignment horizontal="center" vertical="center"/>
      <protection/>
    </xf>
    <xf numFmtId="166" fontId="13" fillId="0" borderId="28" xfId="22" applyNumberFormat="1" applyFont="1" applyFill="1" applyBorder="1" applyAlignment="1" applyProtection="1">
      <alignment horizontal="center" vertical="center"/>
      <protection locked="0"/>
    </xf>
    <xf numFmtId="164" fontId="12" fillId="0" borderId="24" xfId="22" applyFont="1" applyFill="1" applyBorder="1" applyAlignment="1" applyProtection="1">
      <alignment horizontal="center" vertical="center"/>
      <protection locked="0"/>
    </xf>
    <xf numFmtId="164" fontId="13" fillId="0" borderId="25" xfId="22" applyNumberFormat="1" applyFont="1" applyFill="1" applyBorder="1" applyAlignment="1" applyProtection="1">
      <alignment horizontal="center" vertical="center"/>
      <protection locked="0"/>
    </xf>
    <xf numFmtId="164" fontId="23" fillId="3" borderId="25" xfId="22" applyNumberFormat="1" applyFont="1" applyFill="1" applyBorder="1" applyAlignment="1">
      <alignment horizontal="center" vertical="center"/>
      <protection/>
    </xf>
    <xf numFmtId="166" fontId="13" fillId="0" borderId="26" xfId="22" applyNumberFormat="1" applyFont="1" applyFill="1" applyBorder="1" applyAlignment="1" applyProtection="1">
      <alignment horizontal="center" vertical="center"/>
      <protection locked="0"/>
    </xf>
    <xf numFmtId="164" fontId="23" fillId="3" borderId="24" xfId="22" applyNumberFormat="1" applyFont="1" applyFill="1" applyBorder="1" applyAlignment="1">
      <alignment horizontal="center" vertical="center"/>
      <protection/>
    </xf>
    <xf numFmtId="166" fontId="24" fillId="3" borderId="26" xfId="22" applyNumberFormat="1" applyFont="1" applyFill="1" applyBorder="1" applyAlignment="1" applyProtection="1">
      <alignment horizontal="center" vertical="center"/>
      <protection locked="0"/>
    </xf>
    <xf numFmtId="164" fontId="22" fillId="0" borderId="17" xfId="22" applyFont="1" applyFill="1" applyBorder="1" applyAlignment="1">
      <alignment horizontal="center" vertical="center"/>
      <protection/>
    </xf>
    <xf numFmtId="164" fontId="12" fillId="0" borderId="17" xfId="22" applyFont="1" applyFill="1" applyBorder="1" applyAlignment="1" applyProtection="1">
      <alignment horizontal="center" vertical="center"/>
      <protection locked="0"/>
    </xf>
    <xf numFmtId="167" fontId="12" fillId="0" borderId="29" xfId="22" applyNumberFormat="1" applyFont="1" applyFill="1" applyBorder="1" applyAlignment="1" applyProtection="1">
      <alignment horizontal="center" vertical="center"/>
      <protection locked="0"/>
    </xf>
    <xf numFmtId="164" fontId="12" fillId="0" borderId="14" xfId="22" applyFont="1" applyFill="1" applyBorder="1" applyAlignment="1" applyProtection="1">
      <alignment horizontal="center" vertical="center"/>
      <protection locked="0"/>
    </xf>
    <xf numFmtId="164" fontId="13" fillId="0" borderId="15" xfId="22" applyNumberFormat="1" applyFont="1" applyFill="1" applyBorder="1" applyAlignment="1" applyProtection="1">
      <alignment horizontal="center" vertical="center"/>
      <protection locked="0"/>
    </xf>
    <xf numFmtId="164" fontId="23" fillId="3" borderId="15" xfId="22" applyNumberFormat="1" applyFont="1" applyFill="1" applyBorder="1" applyAlignment="1">
      <alignment horizontal="center" vertical="center"/>
      <protection/>
    </xf>
    <xf numFmtId="166" fontId="13" fillId="0" borderId="30" xfId="22" applyNumberFormat="1" applyFont="1" applyFill="1" applyBorder="1" applyAlignment="1" applyProtection="1">
      <alignment horizontal="center" vertical="center"/>
      <protection locked="0"/>
    </xf>
    <xf numFmtId="164" fontId="12" fillId="0" borderId="16" xfId="22" applyFont="1" applyFill="1" applyBorder="1" applyAlignment="1" applyProtection="1">
      <alignment horizontal="center" vertical="center"/>
      <protection locked="0"/>
    </xf>
    <xf numFmtId="164" fontId="13" fillId="0" borderId="17" xfId="22" applyNumberFormat="1" applyFont="1" applyFill="1" applyBorder="1" applyAlignment="1" applyProtection="1">
      <alignment horizontal="center" vertical="center"/>
      <protection locked="0"/>
    </xf>
    <xf numFmtId="164" fontId="23" fillId="3" borderId="17" xfId="22" applyNumberFormat="1" applyFont="1" applyFill="1" applyBorder="1" applyAlignment="1">
      <alignment horizontal="center" vertical="center"/>
      <protection/>
    </xf>
    <xf numFmtId="166" fontId="13" fillId="0" borderId="29" xfId="22" applyNumberFormat="1" applyFont="1" applyFill="1" applyBorder="1" applyAlignment="1" applyProtection="1">
      <alignment horizontal="center" vertical="center"/>
      <protection locked="0"/>
    </xf>
    <xf numFmtId="164" fontId="23" fillId="3" borderId="16" xfId="22" applyNumberFormat="1" applyFont="1" applyFill="1" applyBorder="1" applyAlignment="1">
      <alignment horizontal="center" vertical="center"/>
      <protection/>
    </xf>
    <xf numFmtId="166" fontId="24" fillId="3" borderId="29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Alignment="1" applyProtection="1">
      <alignment horizontal="center" vertical="center"/>
      <protection/>
    </xf>
    <xf numFmtId="164" fontId="12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Fill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Alignment="1" applyProtection="1">
      <alignment horizontal="center" vertical="center"/>
      <protection/>
    </xf>
    <xf numFmtId="164" fontId="15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Alignment="1" applyProtection="1">
      <alignment horizontal="center" vertical="center"/>
      <protection locked="0"/>
    </xf>
    <xf numFmtId="164" fontId="12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Fill="1" applyAlignment="1" applyProtection="1">
      <alignment horizontal="center" vertical="center"/>
      <protection locked="0"/>
    </xf>
    <xf numFmtId="164" fontId="12" fillId="0" borderId="0" xfId="22" applyNumberFormat="1" applyFont="1" applyFill="1" applyBorder="1" applyAlignment="1" applyProtection="1">
      <alignment horizontal="center" vertical="center"/>
      <protection locked="0"/>
    </xf>
    <xf numFmtId="164" fontId="26" fillId="0" borderId="0" xfId="22" applyNumberFormat="1" applyFont="1" applyFill="1" applyBorder="1" applyAlignment="1" applyProtection="1">
      <alignment horizontal="center" vertical="center"/>
      <protection locked="0"/>
    </xf>
    <xf numFmtId="164" fontId="27" fillId="0" borderId="3" xfId="22" applyNumberFormat="1" applyFont="1" applyBorder="1" applyAlignment="1" applyProtection="1">
      <alignment horizontal="center" vertical="center"/>
      <protection/>
    </xf>
    <xf numFmtId="164" fontId="28" fillId="0" borderId="0" xfId="22" applyNumberFormat="1" applyFont="1" applyFill="1" applyBorder="1" applyAlignment="1" applyProtection="1">
      <alignment vertical="center"/>
      <protection/>
    </xf>
    <xf numFmtId="164" fontId="23" fillId="3" borderId="31" xfId="22" applyNumberFormat="1" applyFont="1" applyFill="1" applyBorder="1" applyAlignment="1" applyProtection="1">
      <alignment horizontal="center" vertical="center" wrapText="1"/>
      <protection/>
    </xf>
    <xf numFmtId="164" fontId="12" fillId="4" borderId="32" xfId="22" applyNumberFormat="1" applyFont="1" applyFill="1" applyBorder="1" applyAlignment="1" applyProtection="1">
      <alignment horizontal="center" vertical="center"/>
      <protection/>
    </xf>
    <xf numFmtId="164" fontId="12" fillId="4" borderId="33" xfId="22" applyNumberFormat="1" applyFont="1" applyFill="1" applyBorder="1" applyAlignment="1" applyProtection="1">
      <alignment horizontal="center" vertical="center"/>
      <protection/>
    </xf>
    <xf numFmtId="164" fontId="12" fillId="0" borderId="31" xfId="22" applyNumberFormat="1" applyFont="1" applyBorder="1" applyAlignment="1" applyProtection="1">
      <alignment horizontal="center" vertical="center"/>
      <protection/>
    </xf>
    <xf numFmtId="164" fontId="12" fillId="0" borderId="32" xfId="22" applyNumberFormat="1" applyFont="1" applyBorder="1" applyAlignment="1" applyProtection="1">
      <alignment horizontal="center" vertical="center"/>
      <protection/>
    </xf>
    <xf numFmtId="164" fontId="13" fillId="4" borderId="32" xfId="22" applyNumberFormat="1" applyFont="1" applyFill="1" applyBorder="1" applyAlignment="1" applyProtection="1">
      <alignment horizontal="center" vertical="center"/>
      <protection/>
    </xf>
    <xf numFmtId="164" fontId="13" fillId="0" borderId="33" xfId="22" applyNumberFormat="1" applyFont="1" applyFill="1" applyBorder="1" applyAlignment="1" applyProtection="1">
      <alignment horizontal="center" vertical="center"/>
      <protection/>
    </xf>
    <xf numFmtId="164" fontId="13" fillId="0" borderId="33" xfId="22" applyNumberFormat="1" applyFont="1" applyBorder="1" applyAlignment="1" applyProtection="1">
      <alignment horizontal="center" vertical="center"/>
      <protection/>
    </xf>
    <xf numFmtId="164" fontId="26" fillId="0" borderId="33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 wrapText="1"/>
      <protection/>
    </xf>
    <xf numFmtId="164" fontId="29" fillId="0" borderId="0" xfId="22" applyNumberFormat="1" applyFont="1" applyAlignment="1" applyProtection="1">
      <alignment horizontal="center" vertical="center"/>
      <protection/>
    </xf>
    <xf numFmtId="164" fontId="23" fillId="3" borderId="34" xfId="22" applyNumberFormat="1" applyFont="1" applyFill="1" applyBorder="1" applyAlignment="1" applyProtection="1">
      <alignment horizontal="center" vertical="center"/>
      <protection/>
    </xf>
    <xf numFmtId="164" fontId="12" fillId="4" borderId="35" xfId="22" applyNumberFormat="1" applyFont="1" applyFill="1" applyBorder="1" applyAlignment="1" applyProtection="1">
      <alignment horizontal="center" vertical="center"/>
      <protection/>
    </xf>
    <xf numFmtId="164" fontId="12" fillId="4" borderId="36" xfId="22" applyNumberFormat="1" applyFont="1" applyFill="1" applyBorder="1" applyAlignment="1" applyProtection="1">
      <alignment horizontal="center" vertical="center"/>
      <protection/>
    </xf>
    <xf numFmtId="164" fontId="12" fillId="0" borderId="34" xfId="22" applyNumberFormat="1" applyFont="1" applyBorder="1" applyAlignment="1" applyProtection="1">
      <alignment horizontal="center" vertical="center"/>
      <protection/>
    </xf>
    <xf numFmtId="164" fontId="12" fillId="0" borderId="35" xfId="22" applyNumberFormat="1" applyFont="1" applyBorder="1" applyAlignment="1" applyProtection="1">
      <alignment horizontal="center" vertical="center"/>
      <protection/>
    </xf>
    <xf numFmtId="164" fontId="12" fillId="0" borderId="35" xfId="0" applyNumberFormat="1" applyFont="1" applyBorder="1" applyAlignment="1" applyProtection="1">
      <alignment horizontal="center" vertical="center"/>
      <protection/>
    </xf>
    <xf numFmtId="164" fontId="13" fillId="4" borderId="35" xfId="22" applyNumberFormat="1" applyFont="1" applyFill="1" applyBorder="1" applyAlignment="1" applyProtection="1">
      <alignment horizontal="center" vertical="center"/>
      <protection/>
    </xf>
    <xf numFmtId="164" fontId="13" fillId="0" borderId="36" xfId="22" applyNumberFormat="1" applyFont="1" applyFill="1" applyBorder="1" applyAlignment="1" applyProtection="1">
      <alignment horizontal="center" vertical="center"/>
      <protection/>
    </xf>
    <xf numFmtId="164" fontId="12" fillId="0" borderId="34" xfId="0" applyNumberFormat="1" applyFont="1" applyBorder="1" applyAlignment="1" applyProtection="1">
      <alignment horizontal="center" vertical="center"/>
      <protection/>
    </xf>
    <xf numFmtId="164" fontId="13" fillId="4" borderId="35" xfId="0" applyNumberFormat="1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/>
    </xf>
    <xf numFmtId="164" fontId="23" fillId="3" borderId="34" xfId="0" applyNumberFormat="1" applyFont="1" applyFill="1" applyBorder="1" applyAlignment="1" applyProtection="1">
      <alignment horizontal="center" vertical="center"/>
      <protection/>
    </xf>
    <xf numFmtId="164" fontId="26" fillId="0" borderId="36" xfId="22" applyNumberFormat="1" applyFont="1" applyFill="1" applyBorder="1" applyAlignment="1" applyProtection="1">
      <alignment horizontal="center" vertical="center"/>
      <protection/>
    </xf>
    <xf numFmtId="164" fontId="30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Border="1" applyAlignment="1" applyProtection="1">
      <alignment horizontal="center" vertical="center"/>
      <protection/>
    </xf>
    <xf numFmtId="164" fontId="10" fillId="5" borderId="34" xfId="22" applyNumberFormat="1" applyFont="1" applyFill="1" applyBorder="1" applyAlignment="1" applyProtection="1">
      <alignment horizontal="center" vertical="center"/>
      <protection/>
    </xf>
    <xf numFmtId="164" fontId="13" fillId="5" borderId="34" xfId="22" applyNumberFormat="1" applyFont="1" applyFill="1" applyBorder="1" applyAlignment="1" applyProtection="1">
      <alignment horizontal="center" vertical="center"/>
      <protection/>
    </xf>
    <xf numFmtId="164" fontId="10" fillId="5" borderId="37" xfId="22" applyNumberFormat="1" applyFont="1" applyFill="1" applyBorder="1" applyAlignment="1" applyProtection="1">
      <alignment horizontal="center" vertical="center"/>
      <protection/>
    </xf>
    <xf numFmtId="164" fontId="12" fillId="4" borderId="38" xfId="22" applyNumberFormat="1" applyFont="1" applyFill="1" applyBorder="1" applyAlignment="1" applyProtection="1">
      <alignment horizontal="center" vertical="center"/>
      <protection/>
    </xf>
    <xf numFmtId="164" fontId="12" fillId="4" borderId="39" xfId="22" applyNumberFormat="1" applyFont="1" applyFill="1" applyBorder="1" applyAlignment="1" applyProtection="1">
      <alignment horizontal="center" vertical="center"/>
      <protection/>
    </xf>
    <xf numFmtId="164" fontId="12" fillId="0" borderId="37" xfId="22" applyNumberFormat="1" applyFont="1" applyBorder="1" applyAlignment="1" applyProtection="1">
      <alignment horizontal="center" vertical="center"/>
      <protection/>
    </xf>
    <xf numFmtId="164" fontId="12" fillId="0" borderId="38" xfId="22" applyNumberFormat="1" applyFont="1" applyBorder="1" applyAlignment="1" applyProtection="1">
      <alignment horizontal="center" vertical="center"/>
      <protection/>
    </xf>
    <xf numFmtId="164" fontId="12" fillId="0" borderId="38" xfId="0" applyNumberFormat="1" applyFont="1" applyBorder="1" applyAlignment="1" applyProtection="1">
      <alignment horizontal="center" vertical="center"/>
      <protection/>
    </xf>
    <xf numFmtId="164" fontId="13" fillId="4" borderId="38" xfId="22" applyNumberFormat="1" applyFont="1" applyFill="1" applyBorder="1" applyAlignment="1" applyProtection="1">
      <alignment horizontal="center" vertical="center"/>
      <protection/>
    </xf>
    <xf numFmtId="164" fontId="13" fillId="0" borderId="39" xfId="22" applyNumberFormat="1" applyFont="1" applyFill="1" applyBorder="1" applyAlignment="1" applyProtection="1">
      <alignment horizontal="center" vertical="center"/>
      <protection/>
    </xf>
    <xf numFmtId="164" fontId="12" fillId="0" borderId="37" xfId="0" applyNumberFormat="1" applyFont="1" applyBorder="1" applyAlignment="1" applyProtection="1">
      <alignment horizontal="center" vertical="center"/>
      <protection/>
    </xf>
    <xf numFmtId="164" fontId="13" fillId="4" borderId="38" xfId="0" applyNumberFormat="1" applyFont="1" applyFill="1" applyBorder="1" applyAlignment="1" applyProtection="1">
      <alignment horizontal="center" vertical="center"/>
      <protection/>
    </xf>
    <xf numFmtId="164" fontId="13" fillId="0" borderId="39" xfId="0" applyNumberFormat="1" applyFont="1" applyFill="1" applyBorder="1" applyAlignment="1" applyProtection="1">
      <alignment horizontal="center" vertical="center"/>
      <protection/>
    </xf>
    <xf numFmtId="164" fontId="13" fillId="5" borderId="37" xfId="22" applyNumberFormat="1" applyFont="1" applyFill="1" applyBorder="1" applyAlignment="1" applyProtection="1">
      <alignment horizontal="center" vertical="center"/>
      <protection/>
    </xf>
    <xf numFmtId="164" fontId="26" fillId="0" borderId="39" xfId="22" applyNumberFormat="1" applyFont="1" applyFill="1" applyBorder="1" applyAlignment="1" applyProtection="1">
      <alignment horizontal="center" vertical="center"/>
      <protection/>
    </xf>
    <xf numFmtId="164" fontId="31" fillId="0" borderId="0" xfId="22" applyFont="1" applyFill="1" applyAlignment="1">
      <alignment horizontal="center" vertical="center"/>
      <protection/>
    </xf>
    <xf numFmtId="166" fontId="32" fillId="6" borderId="35" xfId="22" applyNumberFormat="1" applyFont="1" applyFill="1" applyBorder="1" applyAlignment="1">
      <alignment horizontal="center" vertical="center"/>
      <protection/>
    </xf>
    <xf numFmtId="164" fontId="32" fillId="6" borderId="35" xfId="22" applyFont="1" applyFill="1" applyBorder="1" applyAlignment="1">
      <alignment horizontal="center" vertical="center"/>
      <protection/>
    </xf>
    <xf numFmtId="164" fontId="32" fillId="0" borderId="0" xfId="22" applyFont="1" applyFill="1" applyBorder="1" applyAlignment="1">
      <alignment horizontal="center" vertical="center"/>
      <protection/>
    </xf>
    <xf numFmtId="164" fontId="31" fillId="6" borderId="35" xfId="22" applyFont="1" applyFill="1" applyBorder="1" applyAlignment="1">
      <alignment horizontal="center" vertical="center"/>
      <protection/>
    </xf>
    <xf numFmtId="164" fontId="33" fillId="6" borderId="35" xfId="22" applyFont="1" applyFill="1" applyBorder="1" applyAlignment="1">
      <alignment horizontal="center" vertical="center"/>
      <protection/>
    </xf>
    <xf numFmtId="169" fontId="32" fillId="6" borderId="35" xfId="22" applyNumberFormat="1" applyFont="1" applyFill="1" applyBorder="1" applyAlignment="1">
      <alignment horizontal="center" vertical="center"/>
      <protection/>
    </xf>
    <xf numFmtId="166" fontId="32" fillId="0" borderId="0" xfId="22" applyNumberFormat="1" applyFont="1" applyFill="1" applyBorder="1" applyAlignment="1">
      <alignment horizontal="center" vertical="center"/>
      <protection/>
    </xf>
    <xf numFmtId="170" fontId="32" fillId="6" borderId="35" xfId="22" applyNumberFormat="1" applyFont="1" applyFill="1" applyBorder="1" applyAlignment="1">
      <alignment horizontal="center" vertical="center"/>
      <protection/>
    </xf>
    <xf numFmtId="164" fontId="31" fillId="0" borderId="0" xfId="22" applyNumberFormat="1" applyFont="1" applyFill="1" applyAlignment="1">
      <alignment horizontal="center" vertical="center"/>
      <protection/>
    </xf>
    <xf numFmtId="164" fontId="31" fillId="0" borderId="0" xfId="0" applyNumberFormat="1" applyFont="1" applyFill="1" applyAlignment="1">
      <alignment horizontal="center" vertical="center"/>
    </xf>
    <xf numFmtId="164" fontId="34" fillId="0" borderId="0" xfId="22" applyNumberFormat="1" applyFont="1" applyFill="1" applyAlignment="1">
      <alignment horizontal="center" vertical="center" wrapText="1"/>
      <protection/>
    </xf>
    <xf numFmtId="164" fontId="34" fillId="0" borderId="0" xfId="22" applyNumberFormat="1" applyFont="1" applyFill="1" applyBorder="1" applyAlignment="1">
      <alignment horizontal="center" vertical="center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32" fillId="0" borderId="0" xfId="22" applyNumberFormat="1" applyFont="1" applyFill="1" applyAlignment="1">
      <alignment horizontal="center" vertical="center"/>
      <protection/>
    </xf>
    <xf numFmtId="164" fontId="35" fillId="4" borderId="40" xfId="22" applyNumberFormat="1" applyFont="1" applyFill="1" applyBorder="1" applyAlignment="1">
      <alignment horizontal="center" vertical="center"/>
      <protection/>
    </xf>
    <xf numFmtId="164" fontId="32" fillId="0" borderId="41" xfId="22" applyNumberFormat="1" applyFont="1" applyFill="1" applyBorder="1" applyAlignment="1">
      <alignment horizontal="center" vertical="center"/>
      <protection/>
    </xf>
    <xf numFmtId="164" fontId="35" fillId="0" borderId="3" xfId="2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Alignment="1">
      <alignment horizontal="center" vertical="center"/>
    </xf>
    <xf numFmtId="164" fontId="35" fillId="4" borderId="42" xfId="0" applyNumberFormat="1" applyFont="1" applyFill="1" applyBorder="1" applyAlignment="1">
      <alignment horizontal="center" vertical="center"/>
    </xf>
    <xf numFmtId="164" fontId="32" fillId="0" borderId="41" xfId="0" applyNumberFormat="1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64" fontId="32" fillId="0" borderId="43" xfId="22" applyNumberFormat="1" applyFont="1" applyFill="1" applyBorder="1" applyAlignment="1">
      <alignment horizontal="center" vertical="center"/>
      <protection/>
    </xf>
    <xf numFmtId="164" fontId="35" fillId="4" borderId="42" xfId="22" applyNumberFormat="1" applyFont="1" applyFill="1" applyBorder="1" applyAlignment="1">
      <alignment horizontal="center" vertical="center"/>
      <protection/>
    </xf>
    <xf numFmtId="164" fontId="36" fillId="4" borderId="44" xfId="22" applyNumberFormat="1" applyFont="1" applyFill="1" applyBorder="1" applyAlignment="1">
      <alignment horizontal="center" vertical="center"/>
      <protection/>
    </xf>
    <xf numFmtId="164" fontId="36" fillId="4" borderId="45" xfId="22" applyNumberFormat="1" applyFont="1" applyFill="1" applyBorder="1" applyAlignment="1">
      <alignment horizontal="center" vertical="center"/>
      <protection/>
    </xf>
    <xf numFmtId="164" fontId="36" fillId="4" borderId="46" xfId="22" applyNumberFormat="1" applyFont="1" applyFill="1" applyBorder="1" applyAlignment="1">
      <alignment horizontal="center" vertical="center"/>
      <protection/>
    </xf>
    <xf numFmtId="164" fontId="36" fillId="4" borderId="44" xfId="0" applyNumberFormat="1" applyFont="1" applyFill="1" applyBorder="1" applyAlignment="1">
      <alignment horizontal="center" vertical="center"/>
    </xf>
    <xf numFmtId="164" fontId="36" fillId="4" borderId="45" xfId="0" applyNumberFormat="1" applyFont="1" applyFill="1" applyBorder="1" applyAlignment="1">
      <alignment horizontal="center" vertical="center"/>
    </xf>
    <xf numFmtId="164" fontId="36" fillId="4" borderId="46" xfId="0" applyNumberFormat="1" applyFont="1" applyFill="1" applyBorder="1" applyAlignment="1">
      <alignment horizontal="center" vertical="center"/>
    </xf>
    <xf numFmtId="164" fontId="35" fillId="0" borderId="47" xfId="22" applyNumberFormat="1" applyFont="1" applyFill="1" applyBorder="1" applyAlignment="1">
      <alignment horizontal="center" vertical="center"/>
      <protection/>
    </xf>
    <xf numFmtId="164" fontId="32" fillId="0" borderId="48" xfId="22" applyNumberFormat="1" applyFont="1" applyFill="1" applyBorder="1" applyAlignment="1">
      <alignment horizontal="center" vertical="center"/>
      <protection/>
    </xf>
    <xf numFmtId="164" fontId="32" fillId="0" borderId="1" xfId="22" applyNumberFormat="1" applyFont="1" applyFill="1" applyBorder="1" applyAlignment="1">
      <alignment horizontal="center" vertical="center"/>
      <protection/>
    </xf>
    <xf numFmtId="164" fontId="32" fillId="0" borderId="49" xfId="22" applyNumberFormat="1" applyFont="1" applyFill="1" applyBorder="1" applyAlignment="1">
      <alignment horizontal="center" vertical="center"/>
      <protection/>
    </xf>
    <xf numFmtId="164" fontId="35" fillId="0" borderId="47" xfId="0" applyNumberFormat="1" applyFont="1" applyFill="1" applyBorder="1" applyAlignment="1">
      <alignment horizontal="center" vertical="center"/>
    </xf>
    <xf numFmtId="164" fontId="32" fillId="0" borderId="48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32" fillId="0" borderId="49" xfId="0" applyNumberFormat="1" applyFont="1" applyFill="1" applyBorder="1" applyAlignment="1">
      <alignment horizontal="center" vertical="center"/>
    </xf>
    <xf numFmtId="164" fontId="35" fillId="0" borderId="50" xfId="22" applyNumberFormat="1" applyFont="1" applyFill="1" applyBorder="1" applyAlignment="1">
      <alignment horizontal="center" vertical="center"/>
      <protection/>
    </xf>
    <xf numFmtId="164" fontId="32" fillId="0" borderId="3" xfId="22" applyNumberFormat="1" applyFont="1" applyFill="1" applyBorder="1" applyAlignment="1">
      <alignment horizontal="center" vertical="center"/>
      <protection/>
    </xf>
    <xf numFmtId="164" fontId="32" fillId="0" borderId="51" xfId="22" applyNumberFormat="1" applyFont="1" applyFill="1" applyBorder="1" applyAlignment="1">
      <alignment horizontal="center" vertical="center"/>
      <protection/>
    </xf>
    <xf numFmtId="164" fontId="35" fillId="0" borderId="50" xfId="0" applyNumberFormat="1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164" fontId="32" fillId="0" borderId="51" xfId="0" applyNumberFormat="1" applyFont="1" applyFill="1" applyBorder="1" applyAlignment="1">
      <alignment horizontal="center" vertical="center"/>
    </xf>
    <xf numFmtId="164" fontId="32" fillId="0" borderId="0" xfId="22" applyNumberFormat="1" applyFont="1" applyFill="1" applyBorder="1" applyAlignment="1">
      <alignment horizontal="center" vertical="center"/>
      <protection/>
    </xf>
    <xf numFmtId="164" fontId="35" fillId="0" borderId="0" xfId="22" applyNumberFormat="1" applyFont="1" applyFill="1" applyAlignment="1">
      <alignment horizontal="center" vertical="center"/>
      <protection/>
    </xf>
    <xf numFmtId="164" fontId="35" fillId="0" borderId="0" xfId="0" applyNumberFormat="1" applyFont="1" applyFill="1" applyAlignment="1">
      <alignment horizontal="center" vertical="center"/>
    </xf>
    <xf numFmtId="164" fontId="32" fillId="0" borderId="43" xfId="0" applyNumberFormat="1" applyFont="1" applyFill="1" applyBorder="1" applyAlignment="1">
      <alignment horizontal="center" vertical="center"/>
    </xf>
    <xf numFmtId="164" fontId="35" fillId="0" borderId="52" xfId="2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22" applyFont="1" applyAlignment="1">
      <alignment horizontal="center" vertical="center"/>
      <protection/>
    </xf>
    <xf numFmtId="164" fontId="37" fillId="0" borderId="0" xfId="22" applyFont="1" applyBorder="1" applyAlignment="1">
      <alignment horizontal="center" vertical="center"/>
      <protection/>
    </xf>
    <xf numFmtId="164" fontId="38" fillId="0" borderId="0" xfId="22" applyFont="1" applyBorder="1" applyAlignment="1">
      <alignment horizontal="center" vertical="center"/>
      <protection/>
    </xf>
    <xf numFmtId="164" fontId="39" fillId="0" borderId="0" xfId="22" applyFont="1" applyBorder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41" fillId="7" borderId="42" xfId="22" applyFont="1" applyFill="1" applyBorder="1" applyAlignment="1">
      <alignment horizontal="center" vertical="center"/>
      <protection/>
    </xf>
    <xf numFmtId="164" fontId="42" fillId="0" borderId="50" xfId="22" applyFont="1" applyFill="1" applyBorder="1" applyAlignment="1">
      <alignment horizontal="center" vertical="center"/>
      <protection/>
    </xf>
    <xf numFmtId="164" fontId="41" fillId="7" borderId="42" xfId="0" applyFont="1" applyFill="1" applyBorder="1" applyAlignment="1">
      <alignment horizontal="center" vertical="center"/>
    </xf>
    <xf numFmtId="164" fontId="4" fillId="0" borderId="0" xfId="22" applyFont="1" applyFill="1" applyBorder="1" applyAlignment="1">
      <alignment horizontal="center" vertical="center"/>
      <protection/>
    </xf>
    <xf numFmtId="164" fontId="4" fillId="0" borderId="0" xfId="22" applyFont="1" applyFill="1" applyAlignment="1">
      <alignment horizontal="center" vertical="center"/>
      <protection/>
    </xf>
    <xf numFmtId="164" fontId="42" fillId="0" borderId="50" xfId="0" applyFont="1" applyFill="1" applyBorder="1" applyAlignment="1">
      <alignment horizontal="center" vertical="center"/>
    </xf>
    <xf numFmtId="164" fontId="36" fillId="0" borderId="0" xfId="22" applyFont="1" applyAlignment="1">
      <alignment horizontal="center" vertical="center"/>
      <protection/>
    </xf>
    <xf numFmtId="164" fontId="36" fillId="0" borderId="0" xfId="0" applyFont="1" applyAlignment="1">
      <alignment horizontal="center" vertical="center"/>
    </xf>
    <xf numFmtId="164" fontId="43" fillId="7" borderId="53" xfId="22" applyFont="1" applyFill="1" applyBorder="1" applyAlignment="1">
      <alignment horizontal="center" vertical="center"/>
      <protection/>
    </xf>
    <xf numFmtId="164" fontId="44" fillId="7" borderId="54" xfId="22" applyFont="1" applyFill="1" applyBorder="1" applyAlignment="1" applyProtection="1">
      <alignment horizontal="center" vertical="center"/>
      <protection locked="0"/>
    </xf>
    <xf numFmtId="164" fontId="44" fillId="7" borderId="55" xfId="22" applyFont="1" applyFill="1" applyBorder="1" applyAlignment="1" applyProtection="1">
      <alignment horizontal="center" vertical="center"/>
      <protection locked="0"/>
    </xf>
    <xf numFmtId="164" fontId="43" fillId="7" borderId="53" xfId="0" applyFont="1" applyFill="1" applyBorder="1" applyAlignment="1">
      <alignment horizontal="center" vertical="center"/>
    </xf>
    <xf numFmtId="164" fontId="36" fillId="0" borderId="0" xfId="22" applyFont="1" applyFill="1" applyBorder="1" applyAlignment="1">
      <alignment horizontal="center" vertical="center"/>
      <protection/>
    </xf>
    <xf numFmtId="164" fontId="36" fillId="0" borderId="0" xfId="22" applyFont="1" applyFill="1" applyAlignment="1">
      <alignment horizontal="center" vertical="center"/>
      <protection/>
    </xf>
    <xf numFmtId="164" fontId="44" fillId="7" borderId="54" xfId="0" applyFont="1" applyFill="1" applyBorder="1" applyAlignment="1" applyProtection="1">
      <alignment horizontal="center" vertical="center"/>
      <protection locked="0"/>
    </xf>
    <xf numFmtId="164" fontId="44" fillId="7" borderId="55" xfId="0" applyFont="1" applyFill="1" applyBorder="1" applyAlignment="1" applyProtection="1">
      <alignment horizontal="center" vertical="center"/>
      <protection locked="0"/>
    </xf>
    <xf numFmtId="164" fontId="44" fillId="7" borderId="56" xfId="22" applyFont="1" applyFill="1" applyBorder="1" applyAlignment="1" applyProtection="1">
      <alignment horizontal="center" vertical="center"/>
      <protection locked="0"/>
    </xf>
    <xf numFmtId="164" fontId="44" fillId="7" borderId="57" xfId="22" applyFont="1" applyFill="1" applyBorder="1" applyAlignment="1" applyProtection="1">
      <alignment horizontal="center" vertical="center"/>
      <protection locked="0"/>
    </xf>
    <xf numFmtId="164" fontId="44" fillId="7" borderId="56" xfId="0" applyFont="1" applyFill="1" applyBorder="1" applyAlignment="1" applyProtection="1">
      <alignment horizontal="center" vertical="center"/>
      <protection locked="0"/>
    </xf>
    <xf numFmtId="164" fontId="44" fillId="7" borderId="57" xfId="0" applyFont="1" applyFill="1" applyBorder="1" applyAlignment="1" applyProtection="1">
      <alignment horizontal="center" vertical="center"/>
      <protection locked="0"/>
    </xf>
    <xf numFmtId="164" fontId="44" fillId="7" borderId="58" xfId="22" applyFont="1" applyFill="1" applyBorder="1" applyAlignment="1" applyProtection="1">
      <alignment horizontal="center" vertical="center"/>
      <protection locked="0"/>
    </xf>
    <xf numFmtId="164" fontId="44" fillId="7" borderId="59" xfId="22" applyFont="1" applyFill="1" applyBorder="1" applyAlignment="1" applyProtection="1">
      <alignment horizontal="center" vertical="center"/>
      <protection locked="0"/>
    </xf>
    <xf numFmtId="164" fontId="44" fillId="7" borderId="58" xfId="0" applyFont="1" applyFill="1" applyBorder="1" applyAlignment="1" applyProtection="1">
      <alignment horizontal="center" vertical="center"/>
      <protection locked="0"/>
    </xf>
    <xf numFmtId="164" fontId="44" fillId="7" borderId="59" xfId="0" applyFont="1" applyFill="1" applyBorder="1" applyAlignment="1" applyProtection="1">
      <alignment horizontal="center" vertical="center"/>
      <protection locked="0"/>
    </xf>
    <xf numFmtId="164" fontId="45" fillId="0" borderId="0" xfId="22" applyFont="1" applyAlignment="1">
      <alignment horizontal="center" vertical="center"/>
      <protection/>
    </xf>
    <xf numFmtId="164" fontId="46" fillId="0" borderId="60" xfId="22" applyFont="1" applyBorder="1" applyAlignment="1">
      <alignment horizontal="center" vertical="center"/>
      <protection/>
    </xf>
    <xf numFmtId="164" fontId="47" fillId="0" borderId="52" xfId="22" applyFont="1" applyBorder="1" applyAlignment="1" applyProtection="1">
      <alignment horizontal="center" vertical="center"/>
      <protection locked="0"/>
    </xf>
    <xf numFmtId="164" fontId="48" fillId="0" borderId="40" xfId="22" applyFont="1" applyBorder="1" applyAlignment="1">
      <alignment horizontal="center" vertical="center"/>
      <protection/>
    </xf>
    <xf numFmtId="164" fontId="47" fillId="0" borderId="52" xfId="0" applyFont="1" applyBorder="1" applyAlignment="1" applyProtection="1">
      <alignment horizontal="center" vertical="center"/>
      <protection locked="0"/>
    </xf>
    <xf numFmtId="164" fontId="46" fillId="0" borderId="61" xfId="22" applyFont="1" applyBorder="1" applyAlignment="1">
      <alignment horizontal="center" vertical="center"/>
      <protection/>
    </xf>
    <xf numFmtId="164" fontId="49" fillId="0" borderId="0" xfId="22" applyFont="1" applyFill="1" applyBorder="1" applyAlignment="1">
      <alignment horizontal="center" vertical="center"/>
      <protection/>
    </xf>
    <xf numFmtId="164" fontId="45" fillId="0" borderId="0" xfId="0" applyFont="1" applyAlignment="1">
      <alignment horizontal="center" vertical="center"/>
    </xf>
    <xf numFmtId="164" fontId="46" fillId="0" borderId="60" xfId="0" applyFont="1" applyBorder="1" applyAlignment="1">
      <alignment horizontal="center" vertical="center"/>
    </xf>
    <xf numFmtId="164" fontId="48" fillId="0" borderId="40" xfId="0" applyFont="1" applyBorder="1" applyAlignment="1">
      <alignment horizontal="center" vertical="center"/>
    </xf>
    <xf numFmtId="164" fontId="46" fillId="0" borderId="61" xfId="0" applyFont="1" applyBorder="1" applyAlignment="1">
      <alignment horizontal="center" vertical="center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7" fillId="0" borderId="62" xfId="22" applyFont="1" applyBorder="1" applyAlignment="1" applyProtection="1">
      <alignment horizontal="center" vertical="center"/>
      <protection locked="0"/>
    </xf>
    <xf numFmtId="164" fontId="48" fillId="0" borderId="53" xfId="22" applyFont="1" applyBorder="1" applyAlignment="1">
      <alignment horizontal="center" vertical="center"/>
      <protection/>
    </xf>
    <xf numFmtId="164" fontId="47" fillId="0" borderId="62" xfId="0" applyFont="1" applyBorder="1" applyAlignment="1" applyProtection="1">
      <alignment horizontal="center" vertical="center"/>
      <protection locked="0"/>
    </xf>
    <xf numFmtId="164" fontId="48" fillId="0" borderId="53" xfId="0" applyFont="1" applyBorder="1" applyAlignment="1">
      <alignment horizontal="center" vertical="center"/>
    </xf>
    <xf numFmtId="164" fontId="47" fillId="0" borderId="63" xfId="22" applyFont="1" applyBorder="1" applyAlignment="1" applyProtection="1">
      <alignment horizontal="center" vertical="center"/>
      <protection locked="0"/>
    </xf>
    <xf numFmtId="164" fontId="47" fillId="0" borderId="63" xfId="0" applyFont="1" applyBorder="1" applyAlignment="1" applyProtection="1">
      <alignment horizontal="center" vertical="center"/>
      <protection locked="0"/>
    </xf>
    <xf numFmtId="164" fontId="0" fillId="0" borderId="0" xfId="22" applyFont="1" applyFill="1" applyBorder="1" applyAlignment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0" xfId="22" applyFont="1" applyBorder="1" applyAlignment="1">
      <alignment horizontal="center" vertical="center"/>
      <protection/>
    </xf>
    <xf numFmtId="164" fontId="36" fillId="0" borderId="0" xfId="0" applyFont="1" applyFill="1" applyBorder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36" fillId="0" borderId="0" xfId="22" applyFont="1" applyBorder="1" applyAlignment="1">
      <alignment horizontal="center" vertical="center"/>
      <protection/>
    </xf>
    <xf numFmtId="164" fontId="40" fillId="0" borderId="0" xfId="22" applyFont="1" applyBorder="1" applyAlignment="1">
      <alignment horizontal="center" vertical="center"/>
      <protection/>
    </xf>
    <xf numFmtId="164" fontId="41" fillId="8" borderId="42" xfId="22" applyFont="1" applyFill="1" applyBorder="1" applyAlignment="1">
      <alignment horizontal="center" vertical="center"/>
      <protection/>
    </xf>
    <xf numFmtId="164" fontId="41" fillId="8" borderId="4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43" fillId="8" borderId="53" xfId="22" applyFont="1" applyFill="1" applyBorder="1" applyAlignment="1">
      <alignment horizontal="center" vertical="center"/>
      <protection/>
    </xf>
    <xf numFmtId="164" fontId="44" fillId="8" borderId="54" xfId="22" applyFont="1" applyFill="1" applyBorder="1" applyAlignment="1" applyProtection="1">
      <alignment horizontal="center" vertical="center"/>
      <protection locked="0"/>
    </xf>
    <xf numFmtId="164" fontId="44" fillId="8" borderId="55" xfId="22" applyFont="1" applyFill="1" applyBorder="1" applyAlignment="1" applyProtection="1">
      <alignment horizontal="center" vertical="center"/>
      <protection locked="0"/>
    </xf>
    <xf numFmtId="164" fontId="43" fillId="8" borderId="53" xfId="0" applyFont="1" applyFill="1" applyBorder="1" applyAlignment="1">
      <alignment horizontal="center" vertical="center"/>
    </xf>
    <xf numFmtId="164" fontId="44" fillId="8" borderId="54" xfId="0" applyFont="1" applyFill="1" applyBorder="1" applyAlignment="1" applyProtection="1">
      <alignment horizontal="center" vertical="center"/>
      <protection locked="0"/>
    </xf>
    <xf numFmtId="164" fontId="44" fillId="8" borderId="55" xfId="0" applyFont="1" applyFill="1" applyBorder="1" applyAlignment="1" applyProtection="1">
      <alignment horizontal="center" vertical="center"/>
      <protection locked="0"/>
    </xf>
    <xf numFmtId="164" fontId="50" fillId="0" borderId="0" xfId="22" applyFont="1" applyAlignment="1">
      <alignment horizontal="center" vertical="center"/>
      <protection/>
    </xf>
    <xf numFmtId="164" fontId="44" fillId="8" borderId="56" xfId="22" applyFont="1" applyFill="1" applyBorder="1" applyAlignment="1" applyProtection="1">
      <alignment horizontal="center" vertical="center"/>
      <protection locked="0"/>
    </xf>
    <xf numFmtId="164" fontId="44" fillId="8" borderId="57" xfId="22" applyFont="1" applyFill="1" applyBorder="1" applyAlignment="1" applyProtection="1">
      <alignment horizontal="center" vertical="center"/>
      <protection locked="0"/>
    </xf>
    <xf numFmtId="164" fontId="44" fillId="8" borderId="56" xfId="0" applyFont="1" applyFill="1" applyBorder="1" applyAlignment="1" applyProtection="1">
      <alignment horizontal="center" vertical="center"/>
      <protection locked="0"/>
    </xf>
    <xf numFmtId="164" fontId="44" fillId="8" borderId="57" xfId="0" applyFont="1" applyFill="1" applyBorder="1" applyAlignment="1" applyProtection="1">
      <alignment horizontal="center" vertical="center"/>
      <protection locked="0"/>
    </xf>
    <xf numFmtId="164" fontId="44" fillId="8" borderId="58" xfId="22" applyFont="1" applyFill="1" applyBorder="1" applyAlignment="1" applyProtection="1">
      <alignment horizontal="center" vertical="center"/>
      <protection locked="0"/>
    </xf>
    <xf numFmtId="164" fontId="44" fillId="8" borderId="59" xfId="22" applyFont="1" applyFill="1" applyBorder="1" applyAlignment="1" applyProtection="1">
      <alignment horizontal="center" vertical="center"/>
      <protection locked="0"/>
    </xf>
    <xf numFmtId="164" fontId="44" fillId="8" borderId="58" xfId="0" applyFont="1" applyFill="1" applyBorder="1" applyAlignment="1" applyProtection="1">
      <alignment horizontal="center" vertical="center"/>
      <protection locked="0"/>
    </xf>
    <xf numFmtId="164" fontId="44" fillId="8" borderId="59" xfId="0" applyFont="1" applyFill="1" applyBorder="1" applyAlignment="1" applyProtection="1">
      <alignment horizontal="center" vertical="center"/>
      <protection locked="0"/>
    </xf>
    <xf numFmtId="164" fontId="45" fillId="0" borderId="0" xfId="0" applyFont="1" applyBorder="1" applyAlignment="1">
      <alignment horizontal="center" vertical="center"/>
    </xf>
    <xf numFmtId="164" fontId="0" fillId="0" borderId="0" xfId="22" applyFont="1" applyFill="1" applyAlignment="1">
      <alignment horizontal="center" vertical="center"/>
      <protection/>
    </xf>
    <xf numFmtId="164" fontId="40" fillId="0" borderId="0" xfId="0" applyFont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51" fillId="0" borderId="43" xfId="22" applyFont="1" applyBorder="1" applyAlignment="1">
      <alignment horizontal="center" vertical="center"/>
      <protection/>
    </xf>
    <xf numFmtId="164" fontId="41" fillId="9" borderId="42" xfId="22" applyFont="1" applyFill="1" applyBorder="1" applyAlignment="1">
      <alignment horizontal="center" vertical="center"/>
      <protection/>
    </xf>
    <xf numFmtId="164" fontId="41" fillId="9" borderId="42" xfId="0" applyFont="1" applyFill="1" applyBorder="1" applyAlignment="1">
      <alignment horizontal="center" vertical="center"/>
    </xf>
    <xf numFmtId="164" fontId="51" fillId="0" borderId="64" xfId="22" applyFont="1" applyFill="1" applyBorder="1" applyAlignment="1">
      <alignment horizontal="center" vertical="center"/>
      <protection/>
    </xf>
    <xf numFmtId="164" fontId="43" fillId="9" borderId="53" xfId="22" applyFont="1" applyFill="1" applyBorder="1" applyAlignment="1">
      <alignment horizontal="center" vertical="center"/>
      <protection/>
    </xf>
    <xf numFmtId="164" fontId="44" fillId="9" borderId="54" xfId="22" applyFont="1" applyFill="1" applyBorder="1" applyAlignment="1" applyProtection="1">
      <alignment horizontal="center" vertical="center"/>
      <protection locked="0"/>
    </xf>
    <xf numFmtId="164" fontId="44" fillId="9" borderId="55" xfId="22" applyFont="1" applyFill="1" applyBorder="1" applyAlignment="1" applyProtection="1">
      <alignment horizontal="center" vertical="center"/>
      <protection locked="0"/>
    </xf>
    <xf numFmtId="164" fontId="43" fillId="9" borderId="53" xfId="0" applyFont="1" applyFill="1" applyBorder="1" applyAlignment="1">
      <alignment horizontal="center" vertical="center"/>
    </xf>
    <xf numFmtId="164" fontId="44" fillId="9" borderId="56" xfId="22" applyFont="1" applyFill="1" applyBorder="1" applyAlignment="1" applyProtection="1">
      <alignment horizontal="center" vertical="center"/>
      <protection locked="0"/>
    </xf>
    <xf numFmtId="164" fontId="44" fillId="9" borderId="57" xfId="22" applyFont="1" applyFill="1" applyBorder="1" applyAlignment="1" applyProtection="1">
      <alignment horizontal="center" vertical="center"/>
      <protection locked="0"/>
    </xf>
    <xf numFmtId="164" fontId="44" fillId="9" borderId="58" xfId="22" applyFont="1" applyFill="1" applyBorder="1" applyAlignment="1" applyProtection="1">
      <alignment horizontal="center" vertical="center"/>
      <protection locked="0"/>
    </xf>
    <xf numFmtId="164" fontId="44" fillId="9" borderId="59" xfId="22" applyFont="1" applyFill="1" applyBorder="1" applyAlignment="1" applyProtection="1">
      <alignment horizontal="center" vertical="center"/>
      <protection locked="0"/>
    </xf>
    <xf numFmtId="164" fontId="0" fillId="0" borderId="0" xfId="22" applyFont="1" applyBorder="1" applyAlignment="1">
      <alignment horizontal="center" vertical="center"/>
      <protection/>
    </xf>
    <xf numFmtId="164" fontId="51" fillId="0" borderId="43" xfId="22" applyFont="1" applyFill="1" applyBorder="1" applyAlignment="1">
      <alignment horizontal="center" vertical="center"/>
      <protection/>
    </xf>
    <xf numFmtId="164" fontId="35" fillId="10" borderId="42" xfId="22" applyFont="1" applyFill="1" applyBorder="1" applyAlignment="1">
      <alignment horizontal="center" vertical="center"/>
      <protection/>
    </xf>
    <xf numFmtId="164" fontId="35" fillId="10" borderId="42" xfId="0" applyFont="1" applyFill="1" applyBorder="1" applyAlignment="1">
      <alignment horizontal="center" vertical="center"/>
    </xf>
    <xf numFmtId="164" fontId="51" fillId="0" borderId="64" xfId="22" applyFont="1" applyBorder="1" applyAlignment="1">
      <alignment horizontal="center" vertical="center"/>
      <protection/>
    </xf>
    <xf numFmtId="164" fontId="36" fillId="10" borderId="53" xfId="22" applyFont="1" applyFill="1" applyBorder="1" applyAlignment="1">
      <alignment horizontal="center" vertical="center"/>
      <protection/>
    </xf>
    <xf numFmtId="164" fontId="52" fillId="10" borderId="54" xfId="22" applyFont="1" applyFill="1" applyBorder="1" applyAlignment="1" applyProtection="1">
      <alignment horizontal="center" vertical="center"/>
      <protection locked="0"/>
    </xf>
    <xf numFmtId="164" fontId="52" fillId="10" borderId="55" xfId="22" applyFont="1" applyFill="1" applyBorder="1" applyAlignment="1" applyProtection="1">
      <alignment horizontal="center" vertical="center"/>
      <protection locked="0"/>
    </xf>
    <xf numFmtId="164" fontId="36" fillId="10" borderId="53" xfId="0" applyFont="1" applyFill="1" applyBorder="1" applyAlignment="1">
      <alignment horizontal="center" vertical="center"/>
    </xf>
    <xf numFmtId="164" fontId="52" fillId="10" borderId="56" xfId="22" applyFont="1" applyFill="1" applyBorder="1" applyAlignment="1" applyProtection="1">
      <alignment horizontal="center" vertical="center"/>
      <protection locked="0"/>
    </xf>
    <xf numFmtId="164" fontId="52" fillId="10" borderId="57" xfId="22" applyFont="1" applyFill="1" applyBorder="1" applyAlignment="1" applyProtection="1">
      <alignment horizontal="center" vertical="center"/>
      <protection locked="0"/>
    </xf>
    <xf numFmtId="164" fontId="52" fillId="10" borderId="58" xfId="22" applyFont="1" applyFill="1" applyBorder="1" applyAlignment="1" applyProtection="1">
      <alignment horizontal="center" vertical="center"/>
      <protection locked="0"/>
    </xf>
    <xf numFmtId="164" fontId="52" fillId="10" borderId="59" xfId="22" applyFont="1" applyFill="1" applyBorder="1" applyAlignment="1" applyProtection="1">
      <alignment horizontal="center" vertical="center"/>
      <protection locked="0"/>
    </xf>
    <xf numFmtId="164" fontId="45" fillId="0" borderId="0" xfId="22" applyFont="1" applyBorder="1" applyAlignment="1">
      <alignment horizontal="center" vertical="center"/>
      <protection/>
    </xf>
    <xf numFmtId="164" fontId="53" fillId="0" borderId="0" xfId="22" applyFont="1" applyAlignment="1">
      <alignment horizontal="center" vertical="center"/>
      <protection/>
    </xf>
    <xf numFmtId="164" fontId="34" fillId="0" borderId="1" xfId="22" applyFont="1" applyBorder="1" applyAlignment="1">
      <alignment horizontal="center" vertical="center" wrapText="1"/>
      <protection/>
    </xf>
    <xf numFmtId="164" fontId="54" fillId="0" borderId="0" xfId="22" applyFont="1" applyAlignment="1">
      <alignment horizontal="center" vertical="center"/>
      <protection/>
    </xf>
    <xf numFmtId="164" fontId="55" fillId="0" borderId="0" xfId="22" applyFont="1" applyAlignment="1">
      <alignment horizontal="center" vertical="center"/>
      <protection/>
    </xf>
    <xf numFmtId="164" fontId="53" fillId="0" borderId="0" xfId="22" applyFont="1" applyAlignment="1" applyProtection="1">
      <alignment horizontal="center" vertical="center"/>
      <protection locked="0"/>
    </xf>
    <xf numFmtId="164" fontId="56" fillId="0" borderId="0" xfId="22" applyFont="1" applyAlignment="1" applyProtection="1">
      <alignment horizontal="center" vertical="center"/>
      <protection locked="0"/>
    </xf>
    <xf numFmtId="164" fontId="57" fillId="0" borderId="2" xfId="22" applyFont="1" applyBorder="1" applyAlignment="1">
      <alignment horizontal="center" vertical="center"/>
      <protection/>
    </xf>
    <xf numFmtId="164" fontId="58" fillId="0" borderId="0" xfId="22" applyFont="1" applyAlignment="1">
      <alignment horizontal="center" vertical="center"/>
      <protection/>
    </xf>
    <xf numFmtId="164" fontId="59" fillId="0" borderId="0" xfId="0" applyFont="1" applyBorder="1" applyAlignment="1">
      <alignment horizontal="center" vertical="center"/>
    </xf>
    <xf numFmtId="164" fontId="59" fillId="0" borderId="0" xfId="22" applyFont="1" applyAlignment="1">
      <alignment horizontal="center" vertical="center"/>
      <protection/>
    </xf>
    <xf numFmtId="164" fontId="59" fillId="0" borderId="0" xfId="22" applyFont="1" applyAlignment="1" applyProtection="1">
      <alignment horizontal="center" vertical="center" wrapText="1"/>
      <protection locked="0"/>
    </xf>
    <xf numFmtId="164" fontId="59" fillId="0" borderId="0" xfId="22" applyFont="1" applyAlignment="1">
      <alignment horizontal="center" vertical="center" wrapText="1"/>
      <protection/>
    </xf>
    <xf numFmtId="164" fontId="60" fillId="0" borderId="0" xfId="22" applyFont="1" applyBorder="1" applyAlignment="1">
      <alignment horizontal="center" vertical="center"/>
      <protection/>
    </xf>
    <xf numFmtId="164" fontId="61" fillId="0" borderId="0" xfId="22" applyFont="1" applyAlignment="1">
      <alignment horizontal="center" vertical="center"/>
      <protection/>
    </xf>
    <xf numFmtId="164" fontId="62" fillId="0" borderId="0" xfId="22" applyFont="1" applyAlignment="1">
      <alignment horizontal="center" vertical="center"/>
      <protection/>
    </xf>
    <xf numFmtId="164" fontId="63" fillId="0" borderId="0" xfId="22" applyFont="1" applyBorder="1" applyAlignment="1">
      <alignment horizontal="center" vertical="center"/>
      <protection/>
    </xf>
    <xf numFmtId="164" fontId="64" fillId="0" borderId="65" xfId="22" applyFont="1" applyFill="1" applyBorder="1" applyAlignment="1" applyProtection="1">
      <alignment horizontal="center" vertical="center"/>
      <protection locked="0"/>
    </xf>
    <xf numFmtId="164" fontId="64" fillId="0" borderId="0" xfId="22" applyFont="1" applyFill="1" applyBorder="1" applyAlignment="1" applyProtection="1">
      <alignment horizontal="center" vertical="center"/>
      <protection locked="0"/>
    </xf>
    <xf numFmtId="164" fontId="64" fillId="0" borderId="0" xfId="22" applyFont="1" applyFill="1" applyBorder="1" applyAlignment="1" applyProtection="1">
      <alignment horizontal="center" vertical="center" wrapText="1"/>
      <protection locked="0"/>
    </xf>
    <xf numFmtId="164" fontId="65" fillId="0" borderId="0" xfId="22" applyFont="1" applyFill="1" applyBorder="1" applyAlignment="1" applyProtection="1">
      <alignment horizontal="center" vertical="center" wrapText="1"/>
      <protection locked="0"/>
    </xf>
    <xf numFmtId="171" fontId="66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66" fillId="0" borderId="0" xfId="22" applyFont="1" applyFill="1" applyBorder="1" applyAlignment="1" applyProtection="1">
      <alignment horizontal="center" vertical="center" wrapText="1"/>
      <protection locked="0"/>
    </xf>
    <xf numFmtId="164" fontId="59" fillId="0" borderId="0" xfId="22" applyFont="1" applyBorder="1" applyAlignment="1" applyProtection="1">
      <alignment horizontal="left" vertical="center" wrapText="1"/>
      <protection locked="0"/>
    </xf>
    <xf numFmtId="164" fontId="59" fillId="0" borderId="0" xfId="22" applyFont="1" applyBorder="1" applyAlignment="1" applyProtection="1">
      <alignment horizontal="center" vertical="center" wrapText="1"/>
      <protection locked="0"/>
    </xf>
    <xf numFmtId="164" fontId="67" fillId="0" borderId="66" xfId="22" applyFont="1" applyFill="1" applyBorder="1" applyAlignment="1" applyProtection="1">
      <alignment horizontal="center" vertical="center"/>
      <protection locked="0"/>
    </xf>
    <xf numFmtId="164" fontId="68" fillId="0" borderId="67" xfId="22" applyFont="1" applyFill="1" applyBorder="1" applyAlignment="1" applyProtection="1">
      <alignment horizontal="center" vertical="center" wrapText="1"/>
      <protection locked="0"/>
    </xf>
    <xf numFmtId="164" fontId="68" fillId="0" borderId="67" xfId="0" applyFont="1" applyFill="1" applyBorder="1" applyAlignment="1" applyProtection="1">
      <alignment horizontal="center" vertical="center" wrapText="1"/>
      <protection locked="0"/>
    </xf>
    <xf numFmtId="167" fontId="69" fillId="0" borderId="67" xfId="22" applyNumberFormat="1" applyFont="1" applyFill="1" applyBorder="1" applyAlignment="1" applyProtection="1">
      <alignment horizontal="center" vertical="center" wrapText="1"/>
      <protection locked="0"/>
    </xf>
    <xf numFmtId="164" fontId="70" fillId="0" borderId="67" xfId="22" applyNumberFormat="1" applyFont="1" applyFill="1" applyBorder="1" applyAlignment="1" applyProtection="1">
      <alignment horizontal="center" vertical="center" wrapText="1"/>
      <protection locked="0"/>
    </xf>
    <xf numFmtId="166" fontId="71" fillId="0" borderId="67" xfId="22" applyNumberFormat="1" applyFont="1" applyFill="1" applyBorder="1" applyAlignment="1" applyProtection="1">
      <alignment horizontal="center" vertical="center"/>
      <protection locked="0"/>
    </xf>
    <xf numFmtId="164" fontId="72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Fill="1" applyBorder="1" applyAlignment="1" applyProtection="1">
      <alignment horizontal="center" vertical="center" wrapText="1"/>
      <protection locked="0"/>
    </xf>
    <xf numFmtId="164" fontId="59" fillId="0" borderId="0" xfId="22" applyFont="1" applyBorder="1" applyAlignment="1" applyProtection="1">
      <alignment horizontal="center" vertical="center"/>
      <protection locked="0"/>
    </xf>
    <xf numFmtId="164" fontId="68" fillId="0" borderId="67" xfId="22" applyFont="1" applyFill="1" applyBorder="1" applyAlignment="1" applyProtection="1">
      <alignment horizontal="center" vertical="center"/>
      <protection locked="0"/>
    </xf>
    <xf numFmtId="164" fontId="68" fillId="0" borderId="67" xfId="0" applyFont="1" applyFill="1" applyBorder="1" applyAlignment="1" applyProtection="1">
      <alignment horizontal="center" vertical="center"/>
      <protection locked="0"/>
    </xf>
    <xf numFmtId="164" fontId="73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Fill="1" applyBorder="1" applyAlignment="1" applyProtection="1">
      <alignment horizontal="center" vertical="center"/>
      <protection locked="0"/>
    </xf>
    <xf numFmtId="164" fontId="67" fillId="0" borderId="66" xfId="22" applyFont="1" applyBorder="1" applyAlignment="1" applyProtection="1">
      <alignment horizontal="center" vertical="center"/>
      <protection locked="0"/>
    </xf>
    <xf numFmtId="164" fontId="68" fillId="0" borderId="67" xfId="22" applyFont="1" applyBorder="1" applyAlignment="1" applyProtection="1">
      <alignment horizontal="center" vertical="center"/>
      <protection locked="0"/>
    </xf>
    <xf numFmtId="164" fontId="68" fillId="0" borderId="67" xfId="0" applyFont="1" applyBorder="1" applyAlignment="1" applyProtection="1">
      <alignment horizontal="center" vertical="center"/>
      <protection locked="0"/>
    </xf>
    <xf numFmtId="164" fontId="59" fillId="0" borderId="0" xfId="0" applyFont="1" applyBorder="1" applyAlignment="1" applyProtection="1">
      <alignment horizontal="center" vertical="center"/>
      <protection locked="0"/>
    </xf>
    <xf numFmtId="164" fontId="74" fillId="0" borderId="0" xfId="22" applyFont="1" applyBorder="1" applyAlignment="1" applyProtection="1">
      <alignment horizontal="center" vertical="center" wrapText="1"/>
      <protection locked="0"/>
    </xf>
    <xf numFmtId="167" fontId="69" fillId="0" borderId="67" xfId="22" applyNumberFormat="1" applyFont="1" applyBorder="1" applyAlignment="1" applyProtection="1">
      <alignment horizontal="center" vertical="center"/>
      <protection locked="0"/>
    </xf>
    <xf numFmtId="164" fontId="67" fillId="0" borderId="67" xfId="22" applyNumberFormat="1" applyFont="1" applyBorder="1" applyAlignment="1" applyProtection="1">
      <alignment horizontal="center" vertical="center"/>
      <protection locked="0"/>
    </xf>
    <xf numFmtId="164" fontId="64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Border="1" applyAlignment="1">
      <alignment horizontal="center" vertical="center"/>
      <protection/>
    </xf>
    <xf numFmtId="172" fontId="59" fillId="0" borderId="0" xfId="22" applyNumberFormat="1" applyFont="1" applyBorder="1" applyAlignment="1" applyProtection="1">
      <alignment horizontal="center" vertical="center" wrapText="1"/>
      <protection locked="0"/>
    </xf>
    <xf numFmtId="164" fontId="59" fillId="0" borderId="0" xfId="0" applyFont="1" applyBorder="1" applyAlignment="1" applyProtection="1">
      <alignment horizontal="center" vertical="center" wrapText="1"/>
      <protection locked="0"/>
    </xf>
    <xf numFmtId="164" fontId="59" fillId="0" borderId="68" xfId="22" applyFont="1" applyBorder="1" applyAlignment="1" applyProtection="1">
      <alignment horizontal="center" vertical="center"/>
      <protection locked="0"/>
    </xf>
    <xf numFmtId="164" fontId="67" fillId="0" borderId="66" xfId="22" applyFont="1" applyBorder="1" applyAlignment="1">
      <alignment horizontal="center" vertical="center"/>
      <protection/>
    </xf>
    <xf numFmtId="164" fontId="67" fillId="0" borderId="66" xfId="0" applyFont="1" applyBorder="1" applyAlignment="1" applyProtection="1">
      <alignment horizontal="center" vertical="center"/>
      <protection locked="0"/>
    </xf>
    <xf numFmtId="166" fontId="75" fillId="0" borderId="67" xfId="22" applyNumberFormat="1" applyFont="1" applyBorder="1" applyAlignment="1" applyProtection="1">
      <alignment horizontal="center" vertical="center"/>
      <protection locked="0"/>
    </xf>
    <xf numFmtId="164" fontId="67" fillId="0" borderId="66" xfId="0" applyFont="1" applyBorder="1" applyAlignment="1">
      <alignment horizontal="center" vertical="center"/>
    </xf>
    <xf numFmtId="164" fontId="59" fillId="0" borderId="0" xfId="22" applyFont="1" applyBorder="1" applyAlignment="1" applyProtection="1">
      <alignment vertical="center" wrapText="1"/>
      <protection locked="0"/>
    </xf>
    <xf numFmtId="164" fontId="67" fillId="0" borderId="69" xfId="22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dFC carabine 10m Adultes 8+" xfId="21"/>
    <cellStyle name="Excel Built-in Normal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BFBFBF"/>
      <rgbColor rgb="00E6B9B8"/>
      <rgbColor rgb="003366FF"/>
      <rgbColor rgb="0033CCCC"/>
      <rgbColor rgb="0099CC00"/>
      <rgbColor rgb="00ECD3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84807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1181100</xdr:rowOff>
    </xdr:from>
    <xdr:to>
      <xdr:col>1</xdr:col>
      <xdr:colOff>2686050</xdr:colOff>
      <xdr:row>3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71725"/>
          <a:ext cx="3838575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809625</xdr:colOff>
      <xdr:row>1</xdr:row>
      <xdr:rowOff>1181100</xdr:rowOff>
    </xdr:from>
    <xdr:to>
      <xdr:col>33</xdr:col>
      <xdr:colOff>1762125</xdr:colOff>
      <xdr:row>3</xdr:row>
      <xdr:rowOff>904875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44325" y="2371725"/>
          <a:ext cx="2209800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30</xdr:row>
      <xdr:rowOff>276225</xdr:rowOff>
    </xdr:from>
    <xdr:to>
      <xdr:col>8</xdr:col>
      <xdr:colOff>28575</xdr:colOff>
      <xdr:row>30</xdr:row>
      <xdr:rowOff>276225</xdr:rowOff>
    </xdr:to>
    <xdr:sp>
      <xdr:nvSpPr>
        <xdr:cNvPr id="1" name="Line 9"/>
        <xdr:cNvSpPr>
          <a:spLocks/>
        </xdr:cNvSpPr>
      </xdr:nvSpPr>
      <xdr:spPr>
        <a:xfrm flipH="1">
          <a:off x="819150" y="9972675"/>
          <a:ext cx="41243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276225</xdr:rowOff>
    </xdr:from>
    <xdr:to>
      <xdr:col>20</xdr:col>
      <xdr:colOff>552450</xdr:colOff>
      <xdr:row>30</xdr:row>
      <xdr:rowOff>276225</xdr:rowOff>
    </xdr:to>
    <xdr:sp>
      <xdr:nvSpPr>
        <xdr:cNvPr id="2" name="Line 10"/>
        <xdr:cNvSpPr>
          <a:spLocks/>
        </xdr:cNvSpPr>
      </xdr:nvSpPr>
      <xdr:spPr>
        <a:xfrm>
          <a:off x="8810625" y="9972675"/>
          <a:ext cx="42005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30</xdr:row>
      <xdr:rowOff>276225</xdr:rowOff>
    </xdr:from>
    <xdr:to>
      <xdr:col>20</xdr:col>
      <xdr:colOff>485775</xdr:colOff>
      <xdr:row>30</xdr:row>
      <xdr:rowOff>276225</xdr:rowOff>
    </xdr:to>
    <xdr:sp>
      <xdr:nvSpPr>
        <xdr:cNvPr id="3" name="Line 11"/>
        <xdr:cNvSpPr>
          <a:spLocks/>
        </xdr:cNvSpPr>
      </xdr:nvSpPr>
      <xdr:spPr>
        <a:xfrm>
          <a:off x="8848725" y="9972675"/>
          <a:ext cx="409575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276225</xdr:rowOff>
    </xdr:from>
    <xdr:to>
      <xdr:col>8</xdr:col>
      <xdr:colOff>28575</xdr:colOff>
      <xdr:row>30</xdr:row>
      <xdr:rowOff>276225</xdr:rowOff>
    </xdr:to>
    <xdr:sp>
      <xdr:nvSpPr>
        <xdr:cNvPr id="4" name="Line 13"/>
        <xdr:cNvSpPr>
          <a:spLocks/>
        </xdr:cNvSpPr>
      </xdr:nvSpPr>
      <xdr:spPr>
        <a:xfrm flipH="1">
          <a:off x="885825" y="9972675"/>
          <a:ext cx="405765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0</xdr:row>
      <xdr:rowOff>123825</xdr:rowOff>
    </xdr:from>
    <xdr:to>
      <xdr:col>21</xdr:col>
      <xdr:colOff>38100</xdr:colOff>
      <xdr:row>2</xdr:row>
      <xdr:rowOff>238125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1"/>
        <a:srcRect t="5639" b="6829"/>
        <a:stretch>
          <a:fillRect/>
        </a:stretch>
      </xdr:blipFill>
      <xdr:spPr>
        <a:xfrm>
          <a:off x="11868150" y="123825"/>
          <a:ext cx="1247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123825</xdr:rowOff>
    </xdr:from>
    <xdr:to>
      <xdr:col>3</xdr:col>
      <xdr:colOff>276225</xdr:colOff>
      <xdr:row>2</xdr:row>
      <xdr:rowOff>209550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2"/>
        <a:srcRect l="8357" t="6596" r="7666" b="7006"/>
        <a:stretch>
          <a:fillRect/>
        </a:stretch>
      </xdr:blipFill>
      <xdr:spPr>
        <a:xfrm>
          <a:off x="704850" y="123825"/>
          <a:ext cx="1619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1181100</xdr:colOff>
      <xdr:row>2</xdr:row>
      <xdr:rowOff>438150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9050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0</xdr:rowOff>
    </xdr:from>
    <xdr:to>
      <xdr:col>8</xdr:col>
      <xdr:colOff>95250</xdr:colOff>
      <xdr:row>2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0"/>
          <a:ext cx="914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efer.daniel01@orange.fr" TargetMode="External" /><Relationship Id="rId2" Type="http://schemas.openxmlformats.org/officeDocument/2006/relationships/hyperlink" Target="mailto:pquentel@fftir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2">
      <selection activeCell="B9" sqref="B9"/>
    </sheetView>
  </sheetViews>
  <sheetFormatPr defaultColWidth="12.57421875" defaultRowHeight="12.75"/>
  <cols>
    <col min="1" max="1" width="20.140625" style="1" customWidth="1"/>
    <col min="2" max="2" width="34.00390625" style="1" customWidth="1"/>
    <col min="3" max="3" width="35.28125" style="1" customWidth="1"/>
    <col min="4" max="4" width="3.00390625" style="1" customWidth="1"/>
    <col min="5" max="16384" width="12.140625" style="1" customWidth="1"/>
  </cols>
  <sheetData>
    <row r="1" spans="1:3" ht="96.75" customHeight="1">
      <c r="A1" s="2" t="s">
        <v>0</v>
      </c>
      <c r="B1" s="2"/>
      <c r="C1" s="2"/>
    </row>
    <row r="2" spans="1:3" ht="24.75" customHeight="1">
      <c r="A2" s="3"/>
      <c r="B2" s="3"/>
      <c r="C2" s="3"/>
    </row>
    <row r="3" spans="1:3" ht="24.75" customHeight="1">
      <c r="A3" s="4" t="s">
        <v>1</v>
      </c>
      <c r="B3" s="4"/>
      <c r="C3" s="4"/>
    </row>
    <row r="4" spans="1:3" ht="24.75" customHeight="1">
      <c r="A4" s="5" t="s">
        <v>2</v>
      </c>
      <c r="B4" s="6">
        <v>42015</v>
      </c>
      <c r="C4" s="7"/>
    </row>
    <row r="5" spans="1:3" ht="24.75" customHeight="1">
      <c r="A5" s="5" t="s">
        <v>3</v>
      </c>
      <c r="B5" s="8" t="s">
        <v>4</v>
      </c>
      <c r="C5" s="7"/>
    </row>
    <row r="6" spans="1:3" ht="24.75" customHeight="1">
      <c r="A6" s="5" t="s">
        <v>5</v>
      </c>
      <c r="B6" s="9" t="s">
        <v>6</v>
      </c>
      <c r="C6" s="7"/>
    </row>
    <row r="7" spans="1:3" ht="24.75" customHeight="1">
      <c r="A7" s="5" t="s">
        <v>7</v>
      </c>
      <c r="B7" s="8" t="s">
        <v>8</v>
      </c>
      <c r="C7" s="7" t="s">
        <v>9</v>
      </c>
    </row>
    <row r="8" spans="1:3" ht="24.75" customHeight="1">
      <c r="A8" s="5" t="s">
        <v>10</v>
      </c>
      <c r="B8" s="10">
        <v>3</v>
      </c>
      <c r="C8" s="7"/>
    </row>
    <row r="9" spans="1:3" ht="24.75" customHeight="1">
      <c r="A9" s="11" t="s">
        <v>11</v>
      </c>
      <c r="B9" s="12" t="s">
        <v>12</v>
      </c>
      <c r="C9" s="7" t="s">
        <v>13</v>
      </c>
    </row>
    <row r="10" spans="1:3" ht="24.75" customHeight="1">
      <c r="A10" s="13"/>
      <c r="B10" s="13"/>
      <c r="C10" s="14"/>
    </row>
    <row r="11" spans="1:3" ht="24.75" customHeight="1">
      <c r="A11" s="4" t="s">
        <v>14</v>
      </c>
      <c r="B11" s="4"/>
      <c r="C11" s="4"/>
    </row>
    <row r="12" spans="1:3" ht="30" customHeight="1">
      <c r="A12" s="5" t="s">
        <v>15</v>
      </c>
      <c r="B12" s="15" t="s">
        <v>16</v>
      </c>
      <c r="C12" s="16"/>
    </row>
    <row r="13" spans="1:3" ht="30" customHeight="1">
      <c r="A13" s="11" t="s">
        <v>17</v>
      </c>
      <c r="B13" s="17"/>
      <c r="C13" s="7"/>
    </row>
    <row r="14" spans="1:3" ht="30" customHeight="1">
      <c r="A14" s="11" t="s">
        <v>18</v>
      </c>
      <c r="B14" s="18" t="s">
        <v>19</v>
      </c>
      <c r="C14" s="19"/>
    </row>
    <row r="16" spans="1:3" ht="91.5" customHeight="1">
      <c r="A16" s="20" t="s">
        <v>20</v>
      </c>
      <c r="B16" s="20"/>
      <c r="C16" s="20"/>
    </row>
    <row r="17" spans="1:3" ht="15" customHeight="1">
      <c r="A17" s="21" t="s">
        <v>21</v>
      </c>
      <c r="B17" s="21"/>
      <c r="C17" s="22"/>
    </row>
    <row r="18" spans="1:3" ht="15" customHeight="1">
      <c r="A18" s="23" t="s">
        <v>22</v>
      </c>
      <c r="B18" s="23"/>
      <c r="C18" s="24"/>
    </row>
    <row r="19" spans="1:3" ht="15" customHeight="1">
      <c r="A19" s="25" t="s">
        <v>23</v>
      </c>
      <c r="B19" s="25"/>
      <c r="C19" s="26"/>
    </row>
    <row r="65536" ht="15" customHeight="1"/>
  </sheetData>
  <sheetProtection sheet="1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kiefer.daniel01@orange.fr"/>
    <hyperlink ref="A18" r:id="rId2" display="pquentel@fftir.org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="30" zoomScaleNormal="30" zoomScaleSheetLayoutView="40" workbookViewId="0" topLeftCell="A1">
      <pane xSplit="4" ySplit="6" topLeftCell="Q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K8" sqref="K8"/>
    </sheetView>
  </sheetViews>
  <sheetFormatPr defaultColWidth="12.57421875" defaultRowHeight="12.75" outlineLevelCol="1"/>
  <cols>
    <col min="1" max="1" width="33.421875" style="27" customWidth="1"/>
    <col min="2" max="2" width="34.00390625" style="28" customWidth="1" outlineLevel="1"/>
    <col min="3" max="3" width="73.140625" style="29" customWidth="1"/>
    <col min="4" max="4" width="38.57421875" style="29" customWidth="1"/>
    <col min="5" max="5" width="114.7109375" style="29" customWidth="1"/>
    <col min="6" max="8" width="23.00390625" style="30" customWidth="1"/>
    <col min="9" max="9" width="24.421875" style="30" customWidth="1"/>
    <col min="10" max="10" width="0" style="30" hidden="1" customWidth="1"/>
    <col min="11" max="11" width="114.7109375" style="29" customWidth="1"/>
    <col min="12" max="12" width="23.00390625" style="31" customWidth="1"/>
    <col min="13" max="14" width="23.00390625" style="30" customWidth="1"/>
    <col min="15" max="15" width="24.421875" style="30" customWidth="1"/>
    <col min="16" max="16" width="0" style="30" hidden="1" customWidth="1"/>
    <col min="17" max="17" width="114.7109375" style="29" customWidth="1"/>
    <col min="18" max="19" width="23.00390625" style="30" customWidth="1"/>
    <col min="20" max="20" width="23.00390625" style="31" customWidth="1"/>
    <col min="21" max="21" width="24.140625" style="30" customWidth="1"/>
    <col min="22" max="22" width="0" style="30" hidden="1" customWidth="1"/>
    <col min="23" max="23" width="114.7109375" style="29" customWidth="1"/>
    <col min="24" max="26" width="23.00390625" style="30" customWidth="1"/>
    <col min="27" max="27" width="24.140625" style="30" customWidth="1"/>
    <col min="28" max="28" width="0" style="30" hidden="1" customWidth="1"/>
    <col min="29" max="29" width="114.7109375" style="32" customWidth="1"/>
    <col min="30" max="32" width="23.00390625" style="30" customWidth="1"/>
    <col min="33" max="33" width="29.28125" style="30" customWidth="1"/>
    <col min="34" max="34" width="0" style="30" hidden="1" customWidth="1"/>
    <col min="35" max="35" width="32.57421875" style="30" customWidth="1"/>
    <col min="36" max="36" width="19.8515625" style="33" customWidth="1"/>
    <col min="37" max="37" width="10.7109375" style="34" customWidth="1"/>
    <col min="38" max="38" width="0" style="30" hidden="1" customWidth="1" outlineLevel="1"/>
    <col min="39" max="45" width="16.7109375" style="34" customWidth="1"/>
    <col min="46" max="16384" width="12.140625" style="34" customWidth="1"/>
  </cols>
  <sheetData>
    <row r="1" spans="1:29" ht="4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9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6" ht="82.5" customHeight="1">
      <c r="A3" s="36" t="str">
        <f>CONCATENATE("MATCH DE QUALIFICATION"," - ",INFO!B7," - ",INFO!B9)</f>
        <v>MATCH DE QUALIFICATION - CARABINE - ARDENNES (CHAMPAGNE)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8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8" s="52" customFormat="1" ht="63.75" customHeight="1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pans="1:38" s="52" customFormat="1" ht="72" customHeight="1">
      <c r="A6" s="37"/>
      <c r="B6" s="38"/>
      <c r="C6" s="38"/>
      <c r="D6" s="40"/>
      <c r="E6" s="53" t="s">
        <v>35</v>
      </c>
      <c r="F6" s="54">
        <v>1</v>
      </c>
      <c r="G6" s="54">
        <v>2</v>
      </c>
      <c r="H6" s="54">
        <v>3</v>
      </c>
      <c r="I6" s="43"/>
      <c r="J6" s="44"/>
      <c r="K6" s="55" t="s">
        <v>36</v>
      </c>
      <c r="L6" s="56">
        <v>1</v>
      </c>
      <c r="M6" s="56">
        <v>2</v>
      </c>
      <c r="N6" s="56">
        <v>3</v>
      </c>
      <c r="O6" s="39"/>
      <c r="P6" s="40"/>
      <c r="Q6" s="55" t="s">
        <v>37</v>
      </c>
      <c r="R6" s="56">
        <v>1</v>
      </c>
      <c r="S6" s="56">
        <v>2</v>
      </c>
      <c r="T6" s="56">
        <v>3</v>
      </c>
      <c r="U6" s="39"/>
      <c r="V6" s="47"/>
      <c r="W6" s="55" t="s">
        <v>38</v>
      </c>
      <c r="X6" s="56">
        <v>1</v>
      </c>
      <c r="Y6" s="56">
        <v>2</v>
      </c>
      <c r="Z6" s="56">
        <v>3</v>
      </c>
      <c r="AA6" s="39"/>
      <c r="AB6" s="40"/>
      <c r="AC6" s="55" t="s">
        <v>39</v>
      </c>
      <c r="AD6" s="56">
        <v>1</v>
      </c>
      <c r="AE6" s="56">
        <v>2</v>
      </c>
      <c r="AF6" s="56">
        <v>3</v>
      </c>
      <c r="AG6" s="39"/>
      <c r="AH6" s="40"/>
      <c r="AI6" s="48"/>
      <c r="AJ6" s="49"/>
      <c r="AL6" s="51"/>
    </row>
    <row r="7" spans="1:38" s="71" customFormat="1" ht="120" customHeight="1">
      <c r="A7" s="57">
        <v>1</v>
      </c>
      <c r="B7" s="58">
        <f aca="true" t="shared" si="0" ref="B7:B26">RANK(AL7,$AL$7:$AL$26,0)</f>
        <v>2</v>
      </c>
      <c r="C7" s="59" t="s">
        <v>40</v>
      </c>
      <c r="D7" s="60">
        <v>808312</v>
      </c>
      <c r="E7" s="61" t="s">
        <v>41</v>
      </c>
      <c r="F7" s="62">
        <v>94.2</v>
      </c>
      <c r="G7" s="62">
        <v>102.1</v>
      </c>
      <c r="H7" s="62">
        <v>96.5</v>
      </c>
      <c r="I7" s="63">
        <f aca="true" t="shared" si="1" ref="I7:I26">SUM(F7:H7)</f>
        <v>292.8</v>
      </c>
      <c r="J7" s="64"/>
      <c r="K7" s="65" t="s">
        <v>42</v>
      </c>
      <c r="L7" s="62">
        <v>91</v>
      </c>
      <c r="M7" s="62">
        <v>96.6</v>
      </c>
      <c r="N7" s="66">
        <v>94.9</v>
      </c>
      <c r="O7" s="67">
        <f aca="true" t="shared" si="2" ref="O7:O26">SUM(L7:N7)</f>
        <v>282.5</v>
      </c>
      <c r="P7" s="68"/>
      <c r="Q7" s="65" t="s">
        <v>43</v>
      </c>
      <c r="R7" s="62">
        <v>87.7</v>
      </c>
      <c r="S7" s="62">
        <v>92.5</v>
      </c>
      <c r="T7" s="66">
        <v>97.2</v>
      </c>
      <c r="U7" s="67">
        <f aca="true" t="shared" si="3" ref="U7:U26">SUM(R7:T7)</f>
        <v>277.4</v>
      </c>
      <c r="V7" s="68"/>
      <c r="W7" s="65" t="s">
        <v>44</v>
      </c>
      <c r="X7" s="62">
        <v>96.5</v>
      </c>
      <c r="Y7" s="62">
        <v>99.4</v>
      </c>
      <c r="Z7" s="66">
        <v>99.5</v>
      </c>
      <c r="AA7" s="67">
        <f aca="true" t="shared" si="4" ref="AA7:AA26">SUM(X7:Z7)</f>
        <v>295.4</v>
      </c>
      <c r="AB7" s="68"/>
      <c r="AC7" s="65" t="s">
        <v>45</v>
      </c>
      <c r="AD7" s="62">
        <v>100.7</v>
      </c>
      <c r="AE7" s="62">
        <v>95.1</v>
      </c>
      <c r="AF7" s="66">
        <v>90.3</v>
      </c>
      <c r="AG7" s="67">
        <f aca="true" t="shared" si="5" ref="AG7:AG26">SUM(AD7:AF7)</f>
        <v>286.09999999999997</v>
      </c>
      <c r="AH7" s="68"/>
      <c r="AI7" s="69">
        <f aca="true" t="shared" si="6" ref="AI7:AI26">SUM(I7+O7+U7+AA7+AG7)</f>
        <v>1434.1999999999998</v>
      </c>
      <c r="AJ7" s="70">
        <f aca="true" t="shared" si="7" ref="AJ7:AJ26">J7+P7+V7+AB7+AH7</f>
        <v>0</v>
      </c>
      <c r="AL7" s="72">
        <f aca="true" t="shared" si="8" ref="AL7:AL26">I7+O7+U7+AA7+AG7+(0.000001*(J7+P7+V7+AB7+AH7))+(0.000000001*(H7+N7+T7+Z7+AF7))+(0.000000000001*(G7+M7+S7+Y7+AE7))</f>
        <v>1434.2000004788854</v>
      </c>
    </row>
    <row r="8" spans="1:38" s="71" customFormat="1" ht="120" customHeight="1">
      <c r="A8" s="73">
        <v>2</v>
      </c>
      <c r="B8" s="74">
        <f t="shared" si="0"/>
        <v>1</v>
      </c>
      <c r="C8" s="75" t="s">
        <v>46</v>
      </c>
      <c r="D8" s="76">
        <v>808003</v>
      </c>
      <c r="E8" s="77" t="s">
        <v>47</v>
      </c>
      <c r="F8" s="78">
        <v>94.8</v>
      </c>
      <c r="G8" s="78">
        <v>95.6</v>
      </c>
      <c r="H8" s="78">
        <v>89.2</v>
      </c>
      <c r="I8" s="79">
        <f t="shared" si="1"/>
        <v>279.6</v>
      </c>
      <c r="J8" s="80"/>
      <c r="K8" s="81" t="s">
        <v>48</v>
      </c>
      <c r="L8" s="78">
        <v>101.7</v>
      </c>
      <c r="M8" s="78">
        <v>98.2</v>
      </c>
      <c r="N8" s="82">
        <v>98.7</v>
      </c>
      <c r="O8" s="83">
        <f t="shared" si="2"/>
        <v>298.6</v>
      </c>
      <c r="P8" s="84"/>
      <c r="Q8" s="81" t="s">
        <v>49</v>
      </c>
      <c r="R8" s="78">
        <v>92.3</v>
      </c>
      <c r="S8" s="78">
        <v>91.6</v>
      </c>
      <c r="T8" s="82">
        <v>84.8</v>
      </c>
      <c r="U8" s="83">
        <f t="shared" si="3"/>
        <v>268.7</v>
      </c>
      <c r="V8" s="84"/>
      <c r="W8" s="81" t="s">
        <v>50</v>
      </c>
      <c r="X8" s="78">
        <v>102.6</v>
      </c>
      <c r="Y8" s="78">
        <v>98.9</v>
      </c>
      <c r="Z8" s="82">
        <v>96.5</v>
      </c>
      <c r="AA8" s="83">
        <f t="shared" si="4"/>
        <v>298</v>
      </c>
      <c r="AB8" s="84"/>
      <c r="AC8" s="81" t="s">
        <v>51</v>
      </c>
      <c r="AD8" s="78">
        <v>102</v>
      </c>
      <c r="AE8" s="78">
        <v>102.6</v>
      </c>
      <c r="AF8" s="82">
        <v>98.4</v>
      </c>
      <c r="AG8" s="83">
        <f t="shared" si="5"/>
        <v>303</v>
      </c>
      <c r="AH8" s="84"/>
      <c r="AI8" s="85">
        <f t="shared" si="6"/>
        <v>1447.9</v>
      </c>
      <c r="AJ8" s="86">
        <f t="shared" si="7"/>
        <v>0</v>
      </c>
      <c r="AL8" s="72">
        <f t="shared" si="8"/>
        <v>1447.900000468087</v>
      </c>
    </row>
    <row r="9" spans="1:38" s="71" customFormat="1" ht="120" customHeight="1">
      <c r="A9" s="73">
        <v>3</v>
      </c>
      <c r="B9" s="74">
        <f t="shared" si="0"/>
        <v>3</v>
      </c>
      <c r="C9" s="75" t="s">
        <v>52</v>
      </c>
      <c r="D9" s="76">
        <v>808281</v>
      </c>
      <c r="E9" s="77" t="s">
        <v>53</v>
      </c>
      <c r="F9" s="78">
        <v>97.7</v>
      </c>
      <c r="G9" s="78">
        <v>93.6</v>
      </c>
      <c r="H9" s="78">
        <v>95.1</v>
      </c>
      <c r="I9" s="79">
        <f t="shared" si="1"/>
        <v>286.4</v>
      </c>
      <c r="J9" s="80"/>
      <c r="K9" s="81" t="s">
        <v>54</v>
      </c>
      <c r="L9" s="78">
        <v>88.4</v>
      </c>
      <c r="M9" s="78">
        <v>88</v>
      </c>
      <c r="N9" s="82">
        <v>94.4</v>
      </c>
      <c r="O9" s="83">
        <f t="shared" si="2"/>
        <v>270.8</v>
      </c>
      <c r="P9" s="84"/>
      <c r="Q9" s="81" t="s">
        <v>55</v>
      </c>
      <c r="R9" s="78">
        <v>90.1</v>
      </c>
      <c r="S9" s="78">
        <v>80.7</v>
      </c>
      <c r="T9" s="82">
        <v>80.2</v>
      </c>
      <c r="U9" s="83">
        <f t="shared" si="3"/>
        <v>251</v>
      </c>
      <c r="V9" s="84"/>
      <c r="W9" s="81" t="s">
        <v>56</v>
      </c>
      <c r="X9" s="78">
        <v>102.5</v>
      </c>
      <c r="Y9" s="78">
        <v>101.8</v>
      </c>
      <c r="Z9" s="82">
        <v>98.9</v>
      </c>
      <c r="AA9" s="83">
        <f t="shared" si="4"/>
        <v>303.2</v>
      </c>
      <c r="AB9" s="84"/>
      <c r="AC9" s="81" t="s">
        <v>57</v>
      </c>
      <c r="AD9" s="78">
        <v>70.1</v>
      </c>
      <c r="AE9" s="78">
        <v>60.1</v>
      </c>
      <c r="AF9" s="82">
        <v>66.8</v>
      </c>
      <c r="AG9" s="83">
        <f t="shared" si="5"/>
        <v>197</v>
      </c>
      <c r="AH9" s="84"/>
      <c r="AI9" s="85">
        <f t="shared" si="6"/>
        <v>1308.4</v>
      </c>
      <c r="AJ9" s="86">
        <f t="shared" si="7"/>
        <v>0</v>
      </c>
      <c r="AL9" s="72">
        <f t="shared" si="8"/>
        <v>1308.4000004358243</v>
      </c>
    </row>
    <row r="10" spans="1:38" s="71" customFormat="1" ht="120" customHeight="1">
      <c r="A10" s="73">
        <v>4</v>
      </c>
      <c r="B10" s="74">
        <f t="shared" si="0"/>
        <v>4</v>
      </c>
      <c r="C10" s="75"/>
      <c r="D10" s="76"/>
      <c r="E10" s="77"/>
      <c r="F10" s="78"/>
      <c r="G10" s="78"/>
      <c r="H10" s="78"/>
      <c r="I10" s="79">
        <f>SUM(F10:H10)</f>
        <v>0</v>
      </c>
      <c r="J10" s="80"/>
      <c r="K10" s="81"/>
      <c r="L10" s="78"/>
      <c r="M10" s="78"/>
      <c r="N10" s="82"/>
      <c r="O10" s="83">
        <f>SUM(L10:N10)</f>
        <v>0</v>
      </c>
      <c r="P10" s="84"/>
      <c r="Q10" s="81"/>
      <c r="R10" s="78"/>
      <c r="S10" s="78"/>
      <c r="T10" s="82"/>
      <c r="U10" s="83">
        <f>SUM(R10:T10)</f>
        <v>0</v>
      </c>
      <c r="V10" s="84"/>
      <c r="W10" s="81"/>
      <c r="X10" s="78"/>
      <c r="Y10" s="78"/>
      <c r="Z10" s="82"/>
      <c r="AA10" s="83">
        <f>SUM(X10:Z10)</f>
        <v>0</v>
      </c>
      <c r="AB10" s="84"/>
      <c r="AC10" s="81"/>
      <c r="AD10" s="78"/>
      <c r="AE10" s="78"/>
      <c r="AF10" s="82"/>
      <c r="AG10" s="83">
        <f>SUM(AD10:AF10)</f>
        <v>0</v>
      </c>
      <c r="AH10" s="84"/>
      <c r="AI10" s="85">
        <f>SUM(I10+O10+U10+AA10+AG10)</f>
        <v>0</v>
      </c>
      <c r="AJ10" s="86">
        <f>J10+P10+V10+AB10+AH10</f>
        <v>0</v>
      </c>
      <c r="AL10" s="72">
        <f t="shared" si="8"/>
        <v>0</v>
      </c>
    </row>
    <row r="11" spans="1:38" s="71" customFormat="1" ht="120" customHeight="1">
      <c r="A11" s="73">
        <v>5</v>
      </c>
      <c r="B11" s="74">
        <f t="shared" si="0"/>
        <v>4</v>
      </c>
      <c r="C11" s="75"/>
      <c r="D11" s="76"/>
      <c r="E11" s="77"/>
      <c r="F11" s="78"/>
      <c r="G11" s="78"/>
      <c r="H11" s="78"/>
      <c r="I11" s="79">
        <f t="shared" si="1"/>
        <v>0</v>
      </c>
      <c r="J11" s="80"/>
      <c r="K11" s="81"/>
      <c r="L11" s="78"/>
      <c r="M11" s="78"/>
      <c r="N11" s="82"/>
      <c r="O11" s="83">
        <f t="shared" si="2"/>
        <v>0</v>
      </c>
      <c r="P11" s="84"/>
      <c r="Q11" s="81"/>
      <c r="R11" s="78"/>
      <c r="S11" s="78"/>
      <c r="T11" s="82"/>
      <c r="U11" s="83">
        <f t="shared" si="3"/>
        <v>0</v>
      </c>
      <c r="V11" s="84"/>
      <c r="W11" s="81"/>
      <c r="X11" s="78"/>
      <c r="Y11" s="78"/>
      <c r="Z11" s="82"/>
      <c r="AA11" s="83">
        <f t="shared" si="4"/>
        <v>0</v>
      </c>
      <c r="AB11" s="84"/>
      <c r="AC11" s="81"/>
      <c r="AD11" s="78"/>
      <c r="AE11" s="78"/>
      <c r="AF11" s="82"/>
      <c r="AG11" s="83">
        <f t="shared" si="5"/>
        <v>0</v>
      </c>
      <c r="AH11" s="84"/>
      <c r="AI11" s="85">
        <f t="shared" si="6"/>
        <v>0</v>
      </c>
      <c r="AJ11" s="86">
        <f t="shared" si="7"/>
        <v>0</v>
      </c>
      <c r="AL11" s="72">
        <f t="shared" si="8"/>
        <v>0</v>
      </c>
    </row>
    <row r="12" spans="1:38" s="71" customFormat="1" ht="120" customHeight="1">
      <c r="A12" s="73">
        <v>6</v>
      </c>
      <c r="B12" s="74">
        <f t="shared" si="0"/>
        <v>4</v>
      </c>
      <c r="C12" s="75"/>
      <c r="D12" s="76"/>
      <c r="E12" s="77"/>
      <c r="F12" s="78"/>
      <c r="G12" s="78"/>
      <c r="H12" s="78"/>
      <c r="I12" s="79">
        <f t="shared" si="1"/>
        <v>0</v>
      </c>
      <c r="J12" s="80"/>
      <c r="K12" s="81"/>
      <c r="L12" s="78"/>
      <c r="M12" s="78"/>
      <c r="N12" s="82"/>
      <c r="O12" s="83">
        <f t="shared" si="2"/>
        <v>0</v>
      </c>
      <c r="P12" s="84"/>
      <c r="Q12" s="81"/>
      <c r="R12" s="78"/>
      <c r="S12" s="78"/>
      <c r="T12" s="82"/>
      <c r="U12" s="83">
        <f t="shared" si="3"/>
        <v>0</v>
      </c>
      <c r="V12" s="84"/>
      <c r="W12" s="81"/>
      <c r="X12" s="78"/>
      <c r="Y12" s="78"/>
      <c r="Z12" s="82"/>
      <c r="AA12" s="83">
        <f t="shared" si="4"/>
        <v>0</v>
      </c>
      <c r="AB12" s="84"/>
      <c r="AC12" s="81"/>
      <c r="AD12" s="78"/>
      <c r="AE12" s="78"/>
      <c r="AF12" s="82"/>
      <c r="AG12" s="83">
        <f t="shared" si="5"/>
        <v>0</v>
      </c>
      <c r="AH12" s="84"/>
      <c r="AI12" s="85">
        <f t="shared" si="6"/>
        <v>0</v>
      </c>
      <c r="AJ12" s="86">
        <f t="shared" si="7"/>
        <v>0</v>
      </c>
      <c r="AL12" s="72">
        <f t="shared" si="8"/>
        <v>0</v>
      </c>
    </row>
    <row r="13" spans="1:38" s="71" customFormat="1" ht="120" customHeight="1">
      <c r="A13" s="73">
        <v>7</v>
      </c>
      <c r="B13" s="74">
        <f t="shared" si="0"/>
        <v>4</v>
      </c>
      <c r="C13" s="75"/>
      <c r="D13" s="76"/>
      <c r="E13" s="77"/>
      <c r="F13" s="78"/>
      <c r="G13" s="78"/>
      <c r="H13" s="78"/>
      <c r="I13" s="79">
        <f t="shared" si="1"/>
        <v>0</v>
      </c>
      <c r="J13" s="80"/>
      <c r="K13" s="81"/>
      <c r="L13" s="78"/>
      <c r="M13" s="78"/>
      <c r="N13" s="82"/>
      <c r="O13" s="83">
        <f t="shared" si="2"/>
        <v>0</v>
      </c>
      <c r="P13" s="84"/>
      <c r="Q13" s="81"/>
      <c r="R13" s="78"/>
      <c r="S13" s="78"/>
      <c r="T13" s="82"/>
      <c r="U13" s="83">
        <f t="shared" si="3"/>
        <v>0</v>
      </c>
      <c r="V13" s="84"/>
      <c r="W13" s="81"/>
      <c r="X13" s="78"/>
      <c r="Y13" s="78"/>
      <c r="Z13" s="82"/>
      <c r="AA13" s="83">
        <f t="shared" si="4"/>
        <v>0</v>
      </c>
      <c r="AB13" s="84"/>
      <c r="AC13" s="81"/>
      <c r="AD13" s="78"/>
      <c r="AE13" s="78"/>
      <c r="AF13" s="82"/>
      <c r="AG13" s="83">
        <f t="shared" si="5"/>
        <v>0</v>
      </c>
      <c r="AH13" s="84"/>
      <c r="AI13" s="85">
        <f t="shared" si="6"/>
        <v>0</v>
      </c>
      <c r="AJ13" s="86">
        <f t="shared" si="7"/>
        <v>0</v>
      </c>
      <c r="AL13" s="72">
        <f t="shared" si="8"/>
        <v>0</v>
      </c>
    </row>
    <row r="14" spans="1:38" s="71" customFormat="1" ht="120" customHeight="1">
      <c r="A14" s="73">
        <v>8</v>
      </c>
      <c r="B14" s="74">
        <f t="shared" si="0"/>
        <v>4</v>
      </c>
      <c r="C14" s="75"/>
      <c r="D14" s="76"/>
      <c r="E14" s="77"/>
      <c r="F14" s="78"/>
      <c r="G14" s="78"/>
      <c r="H14" s="78"/>
      <c r="I14" s="79">
        <f t="shared" si="1"/>
        <v>0</v>
      </c>
      <c r="J14" s="80"/>
      <c r="K14" s="81"/>
      <c r="L14" s="78"/>
      <c r="M14" s="78"/>
      <c r="N14" s="82"/>
      <c r="O14" s="83">
        <f t="shared" si="2"/>
        <v>0</v>
      </c>
      <c r="P14" s="84"/>
      <c r="Q14" s="81"/>
      <c r="R14" s="78"/>
      <c r="S14" s="78"/>
      <c r="T14" s="82"/>
      <c r="U14" s="83">
        <f t="shared" si="3"/>
        <v>0</v>
      </c>
      <c r="V14" s="84"/>
      <c r="W14" s="81"/>
      <c r="X14" s="78"/>
      <c r="Y14" s="78"/>
      <c r="Z14" s="82"/>
      <c r="AA14" s="83">
        <f t="shared" si="4"/>
        <v>0</v>
      </c>
      <c r="AB14" s="84"/>
      <c r="AC14" s="81"/>
      <c r="AD14" s="78"/>
      <c r="AE14" s="78"/>
      <c r="AF14" s="82"/>
      <c r="AG14" s="83">
        <f t="shared" si="5"/>
        <v>0</v>
      </c>
      <c r="AH14" s="84"/>
      <c r="AI14" s="85">
        <f t="shared" si="6"/>
        <v>0</v>
      </c>
      <c r="AJ14" s="86">
        <f t="shared" si="7"/>
        <v>0</v>
      </c>
      <c r="AL14" s="72">
        <f t="shared" si="8"/>
        <v>0</v>
      </c>
    </row>
    <row r="15" spans="1:38" s="71" customFormat="1" ht="120" customHeight="1">
      <c r="A15" s="73">
        <v>9</v>
      </c>
      <c r="B15" s="74">
        <f t="shared" si="0"/>
        <v>4</v>
      </c>
      <c r="C15" s="75"/>
      <c r="D15" s="76"/>
      <c r="E15" s="77"/>
      <c r="F15" s="78"/>
      <c r="G15" s="78"/>
      <c r="H15" s="78"/>
      <c r="I15" s="79">
        <f t="shared" si="1"/>
        <v>0</v>
      </c>
      <c r="J15" s="80"/>
      <c r="K15" s="81"/>
      <c r="L15" s="78"/>
      <c r="M15" s="78"/>
      <c r="N15" s="82"/>
      <c r="O15" s="83">
        <f t="shared" si="2"/>
        <v>0</v>
      </c>
      <c r="P15" s="84"/>
      <c r="Q15" s="81"/>
      <c r="R15" s="78"/>
      <c r="S15" s="78"/>
      <c r="T15" s="82"/>
      <c r="U15" s="83">
        <f t="shared" si="3"/>
        <v>0</v>
      </c>
      <c r="V15" s="84"/>
      <c r="W15" s="81"/>
      <c r="X15" s="78"/>
      <c r="Y15" s="78"/>
      <c r="Z15" s="82"/>
      <c r="AA15" s="83">
        <f t="shared" si="4"/>
        <v>0</v>
      </c>
      <c r="AB15" s="84"/>
      <c r="AC15" s="81"/>
      <c r="AD15" s="78"/>
      <c r="AE15" s="78"/>
      <c r="AF15" s="82"/>
      <c r="AG15" s="83">
        <f t="shared" si="5"/>
        <v>0</v>
      </c>
      <c r="AH15" s="84"/>
      <c r="AI15" s="85">
        <f t="shared" si="6"/>
        <v>0</v>
      </c>
      <c r="AJ15" s="86">
        <f t="shared" si="7"/>
        <v>0</v>
      </c>
      <c r="AL15" s="72">
        <f t="shared" si="8"/>
        <v>0</v>
      </c>
    </row>
    <row r="16" spans="1:38" s="71" customFormat="1" ht="120" customHeight="1">
      <c r="A16" s="73">
        <v>10</v>
      </c>
      <c r="B16" s="74">
        <f t="shared" si="0"/>
        <v>4</v>
      </c>
      <c r="C16" s="75"/>
      <c r="D16" s="76"/>
      <c r="E16" s="77"/>
      <c r="F16" s="78"/>
      <c r="G16" s="78"/>
      <c r="H16" s="78"/>
      <c r="I16" s="79">
        <f t="shared" si="1"/>
        <v>0</v>
      </c>
      <c r="J16" s="80"/>
      <c r="K16" s="81"/>
      <c r="L16" s="78"/>
      <c r="M16" s="78"/>
      <c r="N16" s="82"/>
      <c r="O16" s="83">
        <f t="shared" si="2"/>
        <v>0</v>
      </c>
      <c r="P16" s="84"/>
      <c r="Q16" s="81"/>
      <c r="R16" s="78"/>
      <c r="S16" s="78"/>
      <c r="T16" s="82"/>
      <c r="U16" s="83">
        <f t="shared" si="3"/>
        <v>0</v>
      </c>
      <c r="V16" s="84"/>
      <c r="W16" s="81"/>
      <c r="X16" s="78"/>
      <c r="Y16" s="78"/>
      <c r="Z16" s="82"/>
      <c r="AA16" s="83">
        <f t="shared" si="4"/>
        <v>0</v>
      </c>
      <c r="AB16" s="84"/>
      <c r="AC16" s="81"/>
      <c r="AD16" s="78"/>
      <c r="AE16" s="78"/>
      <c r="AF16" s="82"/>
      <c r="AG16" s="83">
        <f t="shared" si="5"/>
        <v>0</v>
      </c>
      <c r="AH16" s="84"/>
      <c r="AI16" s="85">
        <f t="shared" si="6"/>
        <v>0</v>
      </c>
      <c r="AJ16" s="86">
        <f t="shared" si="7"/>
        <v>0</v>
      </c>
      <c r="AL16" s="72">
        <f t="shared" si="8"/>
        <v>0</v>
      </c>
    </row>
    <row r="17" spans="1:38" s="71" customFormat="1" ht="120" customHeight="1">
      <c r="A17" s="73">
        <v>11</v>
      </c>
      <c r="B17" s="74">
        <f t="shared" si="0"/>
        <v>4</v>
      </c>
      <c r="C17" s="75"/>
      <c r="D17" s="76"/>
      <c r="E17" s="77"/>
      <c r="F17" s="78"/>
      <c r="G17" s="78"/>
      <c r="H17" s="78"/>
      <c r="I17" s="79">
        <f t="shared" si="1"/>
        <v>0</v>
      </c>
      <c r="J17" s="80"/>
      <c r="K17" s="81"/>
      <c r="L17" s="78"/>
      <c r="M17" s="78"/>
      <c r="N17" s="82"/>
      <c r="O17" s="83">
        <f t="shared" si="2"/>
        <v>0</v>
      </c>
      <c r="P17" s="84"/>
      <c r="Q17" s="81"/>
      <c r="R17" s="78"/>
      <c r="S17" s="78"/>
      <c r="T17" s="82"/>
      <c r="U17" s="83">
        <f t="shared" si="3"/>
        <v>0</v>
      </c>
      <c r="V17" s="84"/>
      <c r="W17" s="81"/>
      <c r="X17" s="78"/>
      <c r="Y17" s="78"/>
      <c r="Z17" s="82"/>
      <c r="AA17" s="83">
        <f t="shared" si="4"/>
        <v>0</v>
      </c>
      <c r="AB17" s="84"/>
      <c r="AC17" s="81"/>
      <c r="AD17" s="78"/>
      <c r="AE17" s="78"/>
      <c r="AF17" s="82"/>
      <c r="AG17" s="83">
        <f t="shared" si="5"/>
        <v>0</v>
      </c>
      <c r="AH17" s="84"/>
      <c r="AI17" s="85">
        <f t="shared" si="6"/>
        <v>0</v>
      </c>
      <c r="AJ17" s="86">
        <f t="shared" si="7"/>
        <v>0</v>
      </c>
      <c r="AL17" s="72">
        <f t="shared" si="8"/>
        <v>0</v>
      </c>
    </row>
    <row r="18" spans="1:38" s="71" customFormat="1" ht="120" customHeight="1">
      <c r="A18" s="73">
        <v>12</v>
      </c>
      <c r="B18" s="74">
        <f t="shared" si="0"/>
        <v>4</v>
      </c>
      <c r="C18" s="75"/>
      <c r="D18" s="76"/>
      <c r="E18" s="77"/>
      <c r="F18" s="78"/>
      <c r="G18" s="78"/>
      <c r="H18" s="78"/>
      <c r="I18" s="79">
        <f t="shared" si="1"/>
        <v>0</v>
      </c>
      <c r="J18" s="80"/>
      <c r="K18" s="81"/>
      <c r="L18" s="78"/>
      <c r="M18" s="78"/>
      <c r="N18" s="82"/>
      <c r="O18" s="83">
        <f t="shared" si="2"/>
        <v>0</v>
      </c>
      <c r="P18" s="84"/>
      <c r="Q18" s="81"/>
      <c r="R18" s="78"/>
      <c r="S18" s="78"/>
      <c r="T18" s="82"/>
      <c r="U18" s="83">
        <f t="shared" si="3"/>
        <v>0</v>
      </c>
      <c r="V18" s="84"/>
      <c r="W18" s="81"/>
      <c r="X18" s="78"/>
      <c r="Y18" s="78"/>
      <c r="Z18" s="82"/>
      <c r="AA18" s="83">
        <f t="shared" si="4"/>
        <v>0</v>
      </c>
      <c r="AB18" s="84"/>
      <c r="AC18" s="81"/>
      <c r="AD18" s="78"/>
      <c r="AE18" s="78"/>
      <c r="AF18" s="82"/>
      <c r="AG18" s="83">
        <f t="shared" si="5"/>
        <v>0</v>
      </c>
      <c r="AH18" s="84"/>
      <c r="AI18" s="85">
        <f t="shared" si="6"/>
        <v>0</v>
      </c>
      <c r="AJ18" s="86">
        <f t="shared" si="7"/>
        <v>0</v>
      </c>
      <c r="AL18" s="72">
        <f t="shared" si="8"/>
        <v>0</v>
      </c>
    </row>
    <row r="19" spans="1:38" s="71" customFormat="1" ht="120" customHeight="1">
      <c r="A19" s="73">
        <v>13</v>
      </c>
      <c r="B19" s="74">
        <f t="shared" si="0"/>
        <v>4</v>
      </c>
      <c r="C19" s="75"/>
      <c r="D19" s="76"/>
      <c r="E19" s="77"/>
      <c r="F19" s="78"/>
      <c r="G19" s="78"/>
      <c r="H19" s="78"/>
      <c r="I19" s="79">
        <f t="shared" si="1"/>
        <v>0</v>
      </c>
      <c r="J19" s="80"/>
      <c r="K19" s="81"/>
      <c r="L19" s="78"/>
      <c r="M19" s="78"/>
      <c r="N19" s="82"/>
      <c r="O19" s="83">
        <f t="shared" si="2"/>
        <v>0</v>
      </c>
      <c r="P19" s="84"/>
      <c r="Q19" s="81"/>
      <c r="R19" s="78"/>
      <c r="S19" s="78"/>
      <c r="T19" s="82"/>
      <c r="U19" s="83">
        <f t="shared" si="3"/>
        <v>0</v>
      </c>
      <c r="V19" s="84"/>
      <c r="W19" s="81"/>
      <c r="X19" s="78"/>
      <c r="Y19" s="78"/>
      <c r="Z19" s="82"/>
      <c r="AA19" s="83">
        <f t="shared" si="4"/>
        <v>0</v>
      </c>
      <c r="AB19" s="84"/>
      <c r="AC19" s="81"/>
      <c r="AD19" s="78"/>
      <c r="AE19" s="78"/>
      <c r="AF19" s="82"/>
      <c r="AG19" s="83">
        <f t="shared" si="5"/>
        <v>0</v>
      </c>
      <c r="AH19" s="84"/>
      <c r="AI19" s="85">
        <f t="shared" si="6"/>
        <v>0</v>
      </c>
      <c r="AJ19" s="86">
        <f t="shared" si="7"/>
        <v>0</v>
      </c>
      <c r="AL19" s="72">
        <f t="shared" si="8"/>
        <v>0</v>
      </c>
    </row>
    <row r="20" spans="1:38" s="71" customFormat="1" ht="120" customHeight="1">
      <c r="A20" s="73">
        <v>14</v>
      </c>
      <c r="B20" s="74">
        <f t="shared" si="0"/>
        <v>4</v>
      </c>
      <c r="C20" s="75"/>
      <c r="D20" s="76"/>
      <c r="E20" s="77"/>
      <c r="F20" s="78"/>
      <c r="G20" s="78"/>
      <c r="H20" s="78"/>
      <c r="I20" s="79">
        <f t="shared" si="1"/>
        <v>0</v>
      </c>
      <c r="J20" s="80"/>
      <c r="K20" s="81"/>
      <c r="L20" s="78"/>
      <c r="M20" s="78"/>
      <c r="N20" s="82"/>
      <c r="O20" s="83">
        <f t="shared" si="2"/>
        <v>0</v>
      </c>
      <c r="P20" s="84"/>
      <c r="Q20" s="81"/>
      <c r="R20" s="78"/>
      <c r="S20" s="78"/>
      <c r="T20" s="82"/>
      <c r="U20" s="83">
        <f t="shared" si="3"/>
        <v>0</v>
      </c>
      <c r="V20" s="84"/>
      <c r="W20" s="81"/>
      <c r="X20" s="78"/>
      <c r="Y20" s="78"/>
      <c r="Z20" s="82"/>
      <c r="AA20" s="83">
        <f t="shared" si="4"/>
        <v>0</v>
      </c>
      <c r="AB20" s="84"/>
      <c r="AC20" s="81"/>
      <c r="AD20" s="78"/>
      <c r="AE20" s="78"/>
      <c r="AF20" s="82"/>
      <c r="AG20" s="83">
        <f t="shared" si="5"/>
        <v>0</v>
      </c>
      <c r="AH20" s="84"/>
      <c r="AI20" s="85">
        <f t="shared" si="6"/>
        <v>0</v>
      </c>
      <c r="AJ20" s="86">
        <f t="shared" si="7"/>
        <v>0</v>
      </c>
      <c r="AL20" s="72">
        <f t="shared" si="8"/>
        <v>0</v>
      </c>
    </row>
    <row r="21" spans="1:38" s="71" customFormat="1" ht="120" customHeight="1">
      <c r="A21" s="73">
        <v>15</v>
      </c>
      <c r="B21" s="74">
        <f t="shared" si="0"/>
        <v>4</v>
      </c>
      <c r="C21" s="75"/>
      <c r="D21" s="76"/>
      <c r="E21" s="77"/>
      <c r="F21" s="78"/>
      <c r="G21" s="78"/>
      <c r="H21" s="78"/>
      <c r="I21" s="79">
        <f t="shared" si="1"/>
        <v>0</v>
      </c>
      <c r="J21" s="80"/>
      <c r="K21" s="81"/>
      <c r="L21" s="78"/>
      <c r="M21" s="78"/>
      <c r="N21" s="82"/>
      <c r="O21" s="83">
        <f t="shared" si="2"/>
        <v>0</v>
      </c>
      <c r="P21" s="84"/>
      <c r="Q21" s="81"/>
      <c r="R21" s="78"/>
      <c r="S21" s="78"/>
      <c r="T21" s="82"/>
      <c r="U21" s="83">
        <f t="shared" si="3"/>
        <v>0</v>
      </c>
      <c r="V21" s="84"/>
      <c r="W21" s="81"/>
      <c r="X21" s="78"/>
      <c r="Y21" s="78"/>
      <c r="Z21" s="82"/>
      <c r="AA21" s="83">
        <f t="shared" si="4"/>
        <v>0</v>
      </c>
      <c r="AB21" s="84"/>
      <c r="AC21" s="81"/>
      <c r="AD21" s="78"/>
      <c r="AE21" s="78"/>
      <c r="AF21" s="82"/>
      <c r="AG21" s="83">
        <f t="shared" si="5"/>
        <v>0</v>
      </c>
      <c r="AH21" s="84"/>
      <c r="AI21" s="85">
        <f t="shared" si="6"/>
        <v>0</v>
      </c>
      <c r="AJ21" s="86">
        <f t="shared" si="7"/>
        <v>0</v>
      </c>
      <c r="AL21" s="72">
        <f t="shared" si="8"/>
        <v>0</v>
      </c>
    </row>
    <row r="22" spans="1:38" s="71" customFormat="1" ht="120" customHeight="1">
      <c r="A22" s="73">
        <v>16</v>
      </c>
      <c r="B22" s="74">
        <f t="shared" si="0"/>
        <v>4</v>
      </c>
      <c r="C22" s="75"/>
      <c r="D22" s="76"/>
      <c r="E22" s="77"/>
      <c r="F22" s="78"/>
      <c r="G22" s="78"/>
      <c r="H22" s="78"/>
      <c r="I22" s="79">
        <f t="shared" si="1"/>
        <v>0</v>
      </c>
      <c r="J22" s="80"/>
      <c r="K22" s="81"/>
      <c r="L22" s="78"/>
      <c r="M22" s="78"/>
      <c r="N22" s="82"/>
      <c r="O22" s="83">
        <f t="shared" si="2"/>
        <v>0</v>
      </c>
      <c r="P22" s="84"/>
      <c r="Q22" s="81"/>
      <c r="R22" s="78"/>
      <c r="S22" s="78"/>
      <c r="T22" s="82"/>
      <c r="U22" s="83">
        <f t="shared" si="3"/>
        <v>0</v>
      </c>
      <c r="V22" s="84"/>
      <c r="W22" s="81"/>
      <c r="X22" s="78"/>
      <c r="Y22" s="78"/>
      <c r="Z22" s="82"/>
      <c r="AA22" s="83">
        <f t="shared" si="4"/>
        <v>0</v>
      </c>
      <c r="AB22" s="84"/>
      <c r="AC22" s="81"/>
      <c r="AD22" s="78"/>
      <c r="AE22" s="78"/>
      <c r="AF22" s="82"/>
      <c r="AG22" s="83">
        <f t="shared" si="5"/>
        <v>0</v>
      </c>
      <c r="AH22" s="84"/>
      <c r="AI22" s="85">
        <f t="shared" si="6"/>
        <v>0</v>
      </c>
      <c r="AJ22" s="86">
        <f t="shared" si="7"/>
        <v>0</v>
      </c>
      <c r="AL22" s="72">
        <f t="shared" si="8"/>
        <v>0</v>
      </c>
    </row>
    <row r="23" spans="1:38" s="71" customFormat="1" ht="120" customHeight="1">
      <c r="A23" s="73">
        <v>17</v>
      </c>
      <c r="B23" s="74">
        <f t="shared" si="0"/>
        <v>4</v>
      </c>
      <c r="C23" s="75"/>
      <c r="D23" s="76"/>
      <c r="E23" s="77"/>
      <c r="F23" s="78"/>
      <c r="G23" s="78"/>
      <c r="H23" s="78"/>
      <c r="I23" s="79">
        <f t="shared" si="1"/>
        <v>0</v>
      </c>
      <c r="J23" s="80"/>
      <c r="K23" s="81"/>
      <c r="L23" s="78"/>
      <c r="M23" s="78"/>
      <c r="N23" s="82"/>
      <c r="O23" s="83">
        <f t="shared" si="2"/>
        <v>0</v>
      </c>
      <c r="P23" s="84"/>
      <c r="Q23" s="81"/>
      <c r="R23" s="78"/>
      <c r="S23" s="78"/>
      <c r="T23" s="82"/>
      <c r="U23" s="83">
        <f t="shared" si="3"/>
        <v>0</v>
      </c>
      <c r="V23" s="84"/>
      <c r="W23" s="81"/>
      <c r="X23" s="78"/>
      <c r="Y23" s="78"/>
      <c r="Z23" s="82"/>
      <c r="AA23" s="83">
        <f t="shared" si="4"/>
        <v>0</v>
      </c>
      <c r="AB23" s="84"/>
      <c r="AC23" s="81"/>
      <c r="AD23" s="78"/>
      <c r="AE23" s="78"/>
      <c r="AF23" s="82"/>
      <c r="AG23" s="83">
        <f t="shared" si="5"/>
        <v>0</v>
      </c>
      <c r="AH23" s="84"/>
      <c r="AI23" s="85">
        <f t="shared" si="6"/>
        <v>0</v>
      </c>
      <c r="AJ23" s="86">
        <f t="shared" si="7"/>
        <v>0</v>
      </c>
      <c r="AL23" s="72">
        <f t="shared" si="8"/>
        <v>0</v>
      </c>
    </row>
    <row r="24" spans="1:38" s="71" customFormat="1" ht="120" customHeight="1">
      <c r="A24" s="73">
        <v>18</v>
      </c>
      <c r="B24" s="74">
        <f t="shared" si="0"/>
        <v>4</v>
      </c>
      <c r="C24" s="75"/>
      <c r="D24" s="76"/>
      <c r="E24" s="77"/>
      <c r="F24" s="78"/>
      <c r="G24" s="78"/>
      <c r="H24" s="78"/>
      <c r="I24" s="79">
        <f t="shared" si="1"/>
        <v>0</v>
      </c>
      <c r="J24" s="80"/>
      <c r="K24" s="81"/>
      <c r="L24" s="78"/>
      <c r="M24" s="78"/>
      <c r="N24" s="82"/>
      <c r="O24" s="83">
        <f t="shared" si="2"/>
        <v>0</v>
      </c>
      <c r="P24" s="84"/>
      <c r="Q24" s="81"/>
      <c r="R24" s="78"/>
      <c r="S24" s="78"/>
      <c r="T24" s="82"/>
      <c r="U24" s="83">
        <f t="shared" si="3"/>
        <v>0</v>
      </c>
      <c r="V24" s="84"/>
      <c r="W24" s="81"/>
      <c r="X24" s="78"/>
      <c r="Y24" s="78"/>
      <c r="Z24" s="82"/>
      <c r="AA24" s="83">
        <f t="shared" si="4"/>
        <v>0</v>
      </c>
      <c r="AB24" s="84"/>
      <c r="AC24" s="81"/>
      <c r="AD24" s="78"/>
      <c r="AE24" s="78"/>
      <c r="AF24" s="82"/>
      <c r="AG24" s="83">
        <f t="shared" si="5"/>
        <v>0</v>
      </c>
      <c r="AH24" s="84"/>
      <c r="AI24" s="85">
        <f t="shared" si="6"/>
        <v>0</v>
      </c>
      <c r="AJ24" s="86">
        <f t="shared" si="7"/>
        <v>0</v>
      </c>
      <c r="AL24" s="72">
        <f t="shared" si="8"/>
        <v>0</v>
      </c>
    </row>
    <row r="25" spans="1:38" s="71" customFormat="1" ht="120" customHeight="1">
      <c r="A25" s="73">
        <v>19</v>
      </c>
      <c r="B25" s="74">
        <f t="shared" si="0"/>
        <v>4</v>
      </c>
      <c r="C25" s="75"/>
      <c r="D25" s="76"/>
      <c r="E25" s="77"/>
      <c r="F25" s="78"/>
      <c r="G25" s="78"/>
      <c r="H25" s="78"/>
      <c r="I25" s="79">
        <f t="shared" si="1"/>
        <v>0</v>
      </c>
      <c r="J25" s="80"/>
      <c r="K25" s="81"/>
      <c r="L25" s="78"/>
      <c r="M25" s="78"/>
      <c r="N25" s="82"/>
      <c r="O25" s="83">
        <f t="shared" si="2"/>
        <v>0</v>
      </c>
      <c r="P25" s="84"/>
      <c r="Q25" s="81"/>
      <c r="R25" s="78"/>
      <c r="S25" s="78"/>
      <c r="T25" s="82"/>
      <c r="U25" s="83">
        <f t="shared" si="3"/>
        <v>0</v>
      </c>
      <c r="V25" s="84"/>
      <c r="W25" s="81"/>
      <c r="X25" s="78"/>
      <c r="Y25" s="78"/>
      <c r="Z25" s="82"/>
      <c r="AA25" s="83">
        <f t="shared" si="4"/>
        <v>0</v>
      </c>
      <c r="AB25" s="84"/>
      <c r="AC25" s="81"/>
      <c r="AD25" s="78"/>
      <c r="AE25" s="78"/>
      <c r="AF25" s="82"/>
      <c r="AG25" s="83">
        <f t="shared" si="5"/>
        <v>0</v>
      </c>
      <c r="AH25" s="84"/>
      <c r="AI25" s="85">
        <f t="shared" si="6"/>
        <v>0</v>
      </c>
      <c r="AJ25" s="86">
        <f t="shared" si="7"/>
        <v>0</v>
      </c>
      <c r="AL25" s="72">
        <f t="shared" si="8"/>
        <v>0</v>
      </c>
    </row>
    <row r="26" spans="1:38" s="71" customFormat="1" ht="120" customHeight="1">
      <c r="A26" s="55">
        <v>20</v>
      </c>
      <c r="B26" s="87">
        <f t="shared" si="0"/>
        <v>4</v>
      </c>
      <c r="C26" s="88"/>
      <c r="D26" s="89"/>
      <c r="E26" s="90"/>
      <c r="F26" s="91"/>
      <c r="G26" s="91"/>
      <c r="H26" s="91"/>
      <c r="I26" s="92">
        <f t="shared" si="1"/>
        <v>0</v>
      </c>
      <c r="J26" s="93"/>
      <c r="K26" s="94"/>
      <c r="L26" s="91"/>
      <c r="M26" s="91"/>
      <c r="N26" s="95"/>
      <c r="O26" s="96">
        <f t="shared" si="2"/>
        <v>0</v>
      </c>
      <c r="P26" s="97"/>
      <c r="Q26" s="94"/>
      <c r="R26" s="91"/>
      <c r="S26" s="91"/>
      <c r="T26" s="95"/>
      <c r="U26" s="96">
        <f t="shared" si="3"/>
        <v>0</v>
      </c>
      <c r="V26" s="97"/>
      <c r="W26" s="94"/>
      <c r="X26" s="91"/>
      <c r="Y26" s="91"/>
      <c r="Z26" s="95"/>
      <c r="AA26" s="96">
        <f t="shared" si="4"/>
        <v>0</v>
      </c>
      <c r="AB26" s="97"/>
      <c r="AC26" s="94"/>
      <c r="AD26" s="91"/>
      <c r="AE26" s="91"/>
      <c r="AF26" s="95"/>
      <c r="AG26" s="96">
        <f t="shared" si="5"/>
        <v>0</v>
      </c>
      <c r="AH26" s="97"/>
      <c r="AI26" s="98">
        <f t="shared" si="6"/>
        <v>0</v>
      </c>
      <c r="AJ26" s="99">
        <f t="shared" si="7"/>
        <v>0</v>
      </c>
      <c r="AL26" s="72">
        <f t="shared" si="8"/>
        <v>0</v>
      </c>
    </row>
  </sheetData>
  <sheetProtection selectLockedCells="1" selectUnlockedCells="1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zoomScale="25" zoomScaleNormal="25" zoomScaleSheetLayoutView="40" workbookViewId="0" topLeftCell="A1">
      <pane ySplit="6" topLeftCell="A7" activePane="bottomLeft" state="frozen"/>
      <selection pane="topLeft" activeCell="A1" sqref="A1"/>
      <selection pane="bottomLeft" activeCell="Q12" sqref="Q12"/>
    </sheetView>
  </sheetViews>
  <sheetFormatPr defaultColWidth="12.57421875" defaultRowHeight="12.75"/>
  <cols>
    <col min="1" max="1" width="17.7109375" style="100" customWidth="1"/>
    <col min="2" max="2" width="74.00390625" style="101" customWidth="1"/>
    <col min="3" max="3" width="27.00390625" style="101" customWidth="1"/>
    <col min="4" max="4" width="58.28125" style="101" customWidth="1"/>
    <col min="5" max="7" width="16.7109375" style="101" customWidth="1"/>
    <col min="8" max="8" width="17.140625" style="102" customWidth="1"/>
    <col min="9" max="9" width="0" style="103" hidden="1" customWidth="1"/>
    <col min="10" max="10" width="58.28125" style="101" customWidth="1"/>
    <col min="11" max="13" width="16.7109375" style="101" customWidth="1"/>
    <col min="14" max="14" width="19.28125" style="102" customWidth="1"/>
    <col min="15" max="15" width="0" style="103" hidden="1" customWidth="1"/>
    <col min="16" max="16" width="58.28125" style="101" customWidth="1"/>
    <col min="17" max="19" width="16.7109375" style="101" customWidth="1"/>
    <col min="20" max="20" width="18.8515625" style="102" customWidth="1"/>
    <col min="21" max="21" width="0" style="103" hidden="1" customWidth="1"/>
    <col min="22" max="22" width="58.28125" style="101" customWidth="1"/>
    <col min="23" max="25" width="16.7109375" style="101" customWidth="1"/>
    <col min="26" max="26" width="19.28125" style="102" customWidth="1"/>
    <col min="27" max="27" width="0" style="103" hidden="1" customWidth="1"/>
    <col min="28" max="28" width="58.28125" style="104" customWidth="1"/>
    <col min="29" max="31" width="16.7109375" style="104" customWidth="1"/>
    <col min="32" max="32" width="18.8515625" style="102" customWidth="1"/>
    <col min="33" max="33" width="0" style="103" hidden="1" customWidth="1"/>
    <col min="34" max="34" width="26.57421875" style="102" customWidth="1"/>
    <col min="35" max="35" width="0" style="105" hidden="1" customWidth="1"/>
    <col min="36" max="36" width="26.8515625" style="106" customWidth="1"/>
    <col min="37" max="41" width="17.28125" style="107" customWidth="1"/>
    <col min="42" max="42" width="17.28125" style="108" customWidth="1"/>
    <col min="43" max="91" width="17.28125" style="107" customWidth="1"/>
    <col min="92" max="16384" width="12.140625" style="107" customWidth="1"/>
  </cols>
  <sheetData>
    <row r="1" spans="1:35" ht="93.75" customHeight="1">
      <c r="A1" s="109"/>
      <c r="B1" s="110"/>
      <c r="C1" s="110"/>
      <c r="D1" s="110"/>
      <c r="E1" s="110"/>
      <c r="F1" s="110"/>
      <c r="G1" s="110"/>
      <c r="H1" s="111"/>
      <c r="I1" s="112"/>
      <c r="J1" s="110"/>
      <c r="K1" s="110"/>
      <c r="L1" s="110"/>
      <c r="M1" s="110"/>
      <c r="N1" s="111"/>
      <c r="O1" s="112"/>
      <c r="P1" s="110"/>
      <c r="Q1" s="110"/>
      <c r="R1" s="110"/>
      <c r="S1" s="110"/>
      <c r="T1" s="111"/>
      <c r="U1" s="112"/>
      <c r="V1" s="110"/>
      <c r="W1" s="110"/>
      <c r="X1" s="110"/>
      <c r="Y1" s="110"/>
      <c r="Z1" s="111"/>
      <c r="AA1" s="112"/>
      <c r="AB1" s="113"/>
      <c r="AC1" s="113"/>
      <c r="AD1" s="113"/>
      <c r="AE1" s="113"/>
      <c r="AF1" s="111"/>
      <c r="AG1" s="112"/>
      <c r="AH1" s="111"/>
      <c r="AI1" s="114"/>
    </row>
    <row r="2" spans="1:35" ht="93.75" customHeight="1">
      <c r="A2" s="109"/>
      <c r="B2" s="110"/>
      <c r="C2" s="110"/>
      <c r="D2" s="110"/>
      <c r="E2" s="110"/>
      <c r="F2" s="110"/>
      <c r="G2" s="110"/>
      <c r="H2" s="111"/>
      <c r="I2" s="112"/>
      <c r="J2" s="110"/>
      <c r="K2" s="110"/>
      <c r="L2" s="110"/>
      <c r="M2" s="110"/>
      <c r="N2" s="111"/>
      <c r="O2" s="112"/>
      <c r="P2" s="110"/>
      <c r="Q2" s="110"/>
      <c r="R2" s="110"/>
      <c r="S2" s="110"/>
      <c r="T2" s="111"/>
      <c r="U2" s="112"/>
      <c r="V2" s="110"/>
      <c r="W2" s="110"/>
      <c r="X2" s="110"/>
      <c r="Y2" s="110"/>
      <c r="Z2" s="111"/>
      <c r="AA2" s="112"/>
      <c r="AB2" s="113"/>
      <c r="AC2" s="113"/>
      <c r="AD2" s="113"/>
      <c r="AE2" s="113"/>
      <c r="AF2" s="111"/>
      <c r="AG2" s="112"/>
      <c r="AH2" s="111"/>
      <c r="AI2" s="114"/>
    </row>
    <row r="3" spans="1:35" ht="123.75" customHeight="1">
      <c r="A3" s="115" t="str">
        <f>CONCATENATE("MATCH DE QUALIFICATION"," - ",INFO!B7," - ",INFO!B9)</f>
        <v>MATCH DE QUALIFICATION - CARABINE - ARDENNES (CHAMPAGNE)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6" ht="84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</row>
    <row r="5" spans="1:37" s="107" customFormat="1" ht="30" customHeight="1">
      <c r="A5" s="117" t="s">
        <v>25</v>
      </c>
      <c r="B5" s="118" t="s">
        <v>26</v>
      </c>
      <c r="C5" s="119" t="s">
        <v>27</v>
      </c>
      <c r="D5" s="120" t="s">
        <v>35</v>
      </c>
      <c r="E5" s="121" t="s">
        <v>58</v>
      </c>
      <c r="F5" s="121"/>
      <c r="G5" s="121"/>
      <c r="H5" s="122" t="s">
        <v>30</v>
      </c>
      <c r="I5" s="123" t="s">
        <v>31</v>
      </c>
      <c r="J5" s="120" t="s">
        <v>36</v>
      </c>
      <c r="K5" s="121" t="s">
        <v>58</v>
      </c>
      <c r="L5" s="121"/>
      <c r="M5" s="121"/>
      <c r="N5" s="122" t="s">
        <v>30</v>
      </c>
      <c r="O5" s="123" t="s">
        <v>31</v>
      </c>
      <c r="P5" s="120" t="s">
        <v>37</v>
      </c>
      <c r="Q5" s="121" t="s">
        <v>58</v>
      </c>
      <c r="R5" s="121"/>
      <c r="S5" s="121"/>
      <c r="T5" s="122" t="s">
        <v>30</v>
      </c>
      <c r="U5" s="124" t="s">
        <v>31</v>
      </c>
      <c r="V5" s="120" t="s">
        <v>38</v>
      </c>
      <c r="W5" s="121" t="s">
        <v>58</v>
      </c>
      <c r="X5" s="121"/>
      <c r="Y5" s="121"/>
      <c r="Z5" s="122" t="s">
        <v>30</v>
      </c>
      <c r="AA5" s="124" t="s">
        <v>31</v>
      </c>
      <c r="AB5" s="120" t="s">
        <v>39</v>
      </c>
      <c r="AC5" s="121" t="s">
        <v>58</v>
      </c>
      <c r="AD5" s="121"/>
      <c r="AE5" s="121"/>
      <c r="AF5" s="122" t="s">
        <v>30</v>
      </c>
      <c r="AG5" s="124" t="s">
        <v>31</v>
      </c>
      <c r="AH5" s="117" t="s">
        <v>34</v>
      </c>
      <c r="AI5" s="125" t="s">
        <v>59</v>
      </c>
      <c r="AJ5" s="126"/>
      <c r="AK5" s="127"/>
    </row>
    <row r="6" spans="1:36" s="107" customFormat="1" ht="84.75" customHeight="1">
      <c r="A6" s="117"/>
      <c r="B6" s="118"/>
      <c r="C6" s="119"/>
      <c r="D6" s="120"/>
      <c r="E6" s="121"/>
      <c r="F6" s="121"/>
      <c r="G6" s="121"/>
      <c r="H6" s="122"/>
      <c r="I6" s="123"/>
      <c r="J6" s="120"/>
      <c r="K6" s="121"/>
      <c r="L6" s="121"/>
      <c r="M6" s="121"/>
      <c r="N6" s="122"/>
      <c r="O6" s="123"/>
      <c r="P6" s="120"/>
      <c r="Q6" s="121"/>
      <c r="R6" s="121"/>
      <c r="S6" s="121"/>
      <c r="T6" s="122"/>
      <c r="U6" s="124"/>
      <c r="V6" s="120"/>
      <c r="W6" s="121"/>
      <c r="X6" s="121"/>
      <c r="Y6" s="121"/>
      <c r="Z6" s="122"/>
      <c r="AA6" s="124"/>
      <c r="AB6" s="120"/>
      <c r="AC6" s="121"/>
      <c r="AD6" s="121"/>
      <c r="AE6" s="121"/>
      <c r="AF6" s="122"/>
      <c r="AG6" s="124"/>
      <c r="AH6" s="117"/>
      <c r="AI6" s="125"/>
      <c r="AJ6" s="126"/>
    </row>
    <row r="7" spans="1:36" s="142" customFormat="1" ht="153" customHeight="1">
      <c r="A7" s="128">
        <v>1</v>
      </c>
      <c r="B7" s="129" t="str">
        <f>VLOOKUP(A7,saisie!B$7:AL$26,2,0)</f>
        <v>LA MOUCHE REMILLY</v>
      </c>
      <c r="C7" s="130">
        <f>VLOOKUP(A7,saisie!B$7:AL$26,3,0)</f>
        <v>808003</v>
      </c>
      <c r="D7" s="131" t="str">
        <f>VLOOKUP(A7,saisie!B$7:AL$26,4,0)</f>
        <v>BISTON Mélissa</v>
      </c>
      <c r="E7" s="132">
        <f>VLOOKUP(A7,saisie!B$7:AL$26,5,0)</f>
        <v>94.8</v>
      </c>
      <c r="F7" s="133">
        <f>VLOOKUP(A7,saisie!B$7:AL$26,6,0)</f>
        <v>95.6</v>
      </c>
      <c r="G7" s="133">
        <f>VLOOKUP(A7,saisie!B$7:AL$26,7,0)</f>
        <v>89.2</v>
      </c>
      <c r="H7" s="134">
        <f>VLOOKUP(A7,saisie!B$7:AL$26,8,0)</f>
        <v>279.6</v>
      </c>
      <c r="I7" s="135">
        <f>VLOOKUP(A7,saisie!B$7:AL$26,9,0)</f>
        <v>0</v>
      </c>
      <c r="J7" s="136" t="str">
        <f>VLOOKUP(A7,saisie!B$7:AL$26,10,0)</f>
        <v>GOHLKE Alexandra</v>
      </c>
      <c r="K7" s="133">
        <f>VLOOKUP(A7,saisie!B$7:AL$26,11,0)</f>
        <v>101.7</v>
      </c>
      <c r="L7" s="133">
        <f>VLOOKUP(A7,saisie!B$7:AL$26,12,0)</f>
        <v>98.2</v>
      </c>
      <c r="M7" s="133">
        <f>VLOOKUP(A7,saisie!B$7:AL$26,13,0)</f>
        <v>98.7</v>
      </c>
      <c r="N7" s="137">
        <f>VLOOKUP(A7,saisie!B$7:AL$26,14,0)</f>
        <v>298.6</v>
      </c>
      <c r="O7" s="138">
        <f>VLOOKUP(A7,saisie!B$7:AL$26,15,0)</f>
        <v>0</v>
      </c>
      <c r="P7" s="136" t="str">
        <f>VLOOKUP(A7,saisie!B$7:AL$26,16,0)</f>
        <v>MORGEON Christelle</v>
      </c>
      <c r="Q7" s="133">
        <f>VLOOKUP(A7,saisie!B$7:AL$26,17,0)</f>
        <v>92.3</v>
      </c>
      <c r="R7" s="133">
        <f>VLOOKUP(A7,saisie!B$7:AL$26,18,0)</f>
        <v>91.6</v>
      </c>
      <c r="S7" s="133">
        <f>VLOOKUP(A7,saisie!B$7:AL$26,19,0)</f>
        <v>84.8</v>
      </c>
      <c r="T7" s="137">
        <f>VLOOKUP(A7,saisie!B$7:AL$26,20,0)</f>
        <v>268.7</v>
      </c>
      <c r="U7" s="138">
        <f>VLOOKUP(A7,saisie!B$7:AL$26,21,0)</f>
        <v>0</v>
      </c>
      <c r="V7" s="136" t="str">
        <f>VLOOKUP(A7,saisie!B$7:AL$26,22,0)</f>
        <v>COUSTEIX Crystale</v>
      </c>
      <c r="W7" s="133">
        <f>VLOOKUP(A7,saisie!B$7:AL$26,23,0)</f>
        <v>102.6</v>
      </c>
      <c r="X7" s="133">
        <f>VLOOKUP(A7,saisie!B$7:AL$26,24,0)</f>
        <v>98.9</v>
      </c>
      <c r="Y7" s="133">
        <f>VLOOKUP(A7,saisie!B$7:AL$26,25,0)</f>
        <v>96.5</v>
      </c>
      <c r="Z7" s="137">
        <f>VLOOKUP(A7,saisie!B$7:AL$26,26,0)</f>
        <v>298</v>
      </c>
      <c r="AA7" s="138">
        <f>VLOOKUP(A7,saisie!B$7:AL$26,27,0)</f>
        <v>0</v>
      </c>
      <c r="AB7" s="136" t="str">
        <f>VLOOKUP(A7,saisie!B$7:AL$26,28,0)</f>
        <v>ETIENNE Doreen</v>
      </c>
      <c r="AC7" s="133">
        <f>VLOOKUP(A7,saisie!B$7:AL$26,29,0)</f>
        <v>102</v>
      </c>
      <c r="AD7" s="133">
        <f>VLOOKUP(A7,saisie!B$7:AL$26,30,0)</f>
        <v>102.6</v>
      </c>
      <c r="AE7" s="133">
        <f>VLOOKUP(A7,saisie!B$7:AL$26,31,0)</f>
        <v>98.4</v>
      </c>
      <c r="AF7" s="137">
        <f>VLOOKUP(A7,saisie!B$7:AL$26,32,0)</f>
        <v>303</v>
      </c>
      <c r="AG7" s="138">
        <f>VLOOKUP(A7,saisie!B$7:AL$26,33,0)</f>
        <v>0</v>
      </c>
      <c r="AH7" s="139">
        <f>VLOOKUP(A7,saisie!B$7:AL$26,34,0)</f>
        <v>1447.9</v>
      </c>
      <c r="AI7" s="140">
        <f>VLOOKUP(A7,saisie!B$7:AL$26,35,0)</f>
        <v>0</v>
      </c>
      <c r="AJ7" s="141"/>
    </row>
    <row r="8" spans="1:36" s="142" customFormat="1" ht="153" customHeight="1">
      <c r="A8" s="128">
        <f>IF(INFO!B8&gt;1,2,"")</f>
        <v>2</v>
      </c>
      <c r="B8" s="129" t="str">
        <f>VLOOKUP(A8,saisie!B$7:AL$26,2,0)</f>
        <v>EAC THIN-LE-MOUTIER</v>
      </c>
      <c r="C8" s="130">
        <f>VLOOKUP(A8,saisie!B$7:AL$26,3,0)</f>
        <v>808312</v>
      </c>
      <c r="D8" s="131" t="str">
        <f>VLOOKUP(A8,saisie!B$7:AL$26,4,0)</f>
        <v>BOCQUET Corentin</v>
      </c>
      <c r="E8" s="132">
        <f>VLOOKUP(A8,saisie!B$7:AL$26,5,0)</f>
        <v>94.2</v>
      </c>
      <c r="F8" s="133">
        <f>VLOOKUP(A8,saisie!B$7:AL$26,6,0)</f>
        <v>102.1</v>
      </c>
      <c r="G8" s="133">
        <f>VLOOKUP(A8,saisie!B$7:AL$26,7,0)</f>
        <v>96.5</v>
      </c>
      <c r="H8" s="134">
        <f>VLOOKUP(A8,saisie!B$7:AL$26,8,0)</f>
        <v>292.8</v>
      </c>
      <c r="I8" s="135">
        <f>VLOOKUP(A8,saisie!B$7:AL$26,9,0)</f>
        <v>0</v>
      </c>
      <c r="J8" s="136" t="str">
        <f>VLOOKUP(A8,saisie!B$7:AL$26,10,0)</f>
        <v>LESIEUR Christophe</v>
      </c>
      <c r="K8" s="133">
        <f>VLOOKUP(A8,saisie!B$7:AL$26,11,0)</f>
        <v>91</v>
      </c>
      <c r="L8" s="133">
        <f>VLOOKUP(A8,saisie!B$7:AL$26,12,0)</f>
        <v>96.6</v>
      </c>
      <c r="M8" s="133">
        <f>VLOOKUP(A8,saisie!B$7:AL$26,13,0)</f>
        <v>94.9</v>
      </c>
      <c r="N8" s="137">
        <f>VLOOKUP(A8,saisie!B$7:AL$26,14,0)</f>
        <v>282.5</v>
      </c>
      <c r="O8" s="138">
        <f>VLOOKUP(A8,saisie!B$7:AL$26,15,0)</f>
        <v>0</v>
      </c>
      <c r="P8" s="136" t="str">
        <f>VLOOKUP(A8,saisie!B$7:AL$26,16,0)</f>
        <v>BROUSMICHE Lucas</v>
      </c>
      <c r="Q8" s="133">
        <f>VLOOKUP(A8,saisie!B$7:AL$26,17,0)</f>
        <v>87.7</v>
      </c>
      <c r="R8" s="133">
        <f>VLOOKUP(A8,saisie!B$7:AL$26,18,0)</f>
        <v>92.5</v>
      </c>
      <c r="S8" s="133">
        <f>VLOOKUP(A8,saisie!B$7:AL$26,19,0)</f>
        <v>97.2</v>
      </c>
      <c r="T8" s="137">
        <f>VLOOKUP(A8,saisie!B$7:AL$26,20,0)</f>
        <v>277.4</v>
      </c>
      <c r="U8" s="138">
        <f>VLOOKUP(A8,saisie!B$7:AL$26,21,0)</f>
        <v>0</v>
      </c>
      <c r="V8" s="136" t="str">
        <f>VLOOKUP(A8,saisie!B$7:AL$26,22,0)</f>
        <v>LESIEUR Jules</v>
      </c>
      <c r="W8" s="133">
        <f>VLOOKUP(A8,saisie!B$7:AL$26,23,0)</f>
        <v>96.5</v>
      </c>
      <c r="X8" s="133">
        <f>VLOOKUP(A8,saisie!B$7:AL$26,24,0)</f>
        <v>99.4</v>
      </c>
      <c r="Y8" s="133">
        <f>VLOOKUP(A8,saisie!B$7:AL$26,25,0)</f>
        <v>99.5</v>
      </c>
      <c r="Z8" s="137">
        <f>VLOOKUP(A8,saisie!B$7:AL$26,26,0)</f>
        <v>295.4</v>
      </c>
      <c r="AA8" s="138">
        <f>VLOOKUP(A8,saisie!B$7:AL$26,27,0)</f>
        <v>0</v>
      </c>
      <c r="AB8" s="136" t="str">
        <f>VLOOKUP(A8,saisie!B$7:AL$26,28,0)</f>
        <v>QUIMPER Meryn</v>
      </c>
      <c r="AC8" s="133">
        <f>VLOOKUP(A8,saisie!B$7:AL$26,29,0)</f>
        <v>100.7</v>
      </c>
      <c r="AD8" s="133">
        <f>VLOOKUP(A8,saisie!B$7:AL$26,30,0)</f>
        <v>95.1</v>
      </c>
      <c r="AE8" s="133">
        <f>VLOOKUP(A8,saisie!B$7:AL$26,31,0)</f>
        <v>90.3</v>
      </c>
      <c r="AF8" s="137">
        <f>VLOOKUP(A8,saisie!B$7:AL$26,32,0)</f>
        <v>286.09999999999997</v>
      </c>
      <c r="AG8" s="138">
        <f>VLOOKUP(A8,saisie!B$7:AL$26,33,0)</f>
        <v>0</v>
      </c>
      <c r="AH8" s="139">
        <f>VLOOKUP(A8,saisie!B$7:AL$26,34,0)</f>
        <v>1434.1999999999998</v>
      </c>
      <c r="AI8" s="140">
        <f>VLOOKUP(A8,saisie!B$7:AL$26,35,0)</f>
        <v>0</v>
      </c>
      <c r="AJ8" s="141"/>
    </row>
    <row r="9" spans="1:36" s="142" customFormat="1" ht="153" customHeight="1">
      <c r="A9" s="128">
        <f>IF(INFO!B8&gt;2,3,"")</f>
        <v>3</v>
      </c>
      <c r="B9" s="129" t="str">
        <f>VLOOKUP(A9,saisie!B$7:AL$26,2,0)</f>
        <v>USTIR CHARLEVILLE</v>
      </c>
      <c r="C9" s="130">
        <f>VLOOKUP(A9,saisie!B$7:AL$26,3,0)</f>
        <v>808281</v>
      </c>
      <c r="D9" s="131" t="str">
        <f>VLOOKUP(A9,saisie!B$7:AL$26,4,0)</f>
        <v>VERDURE Valentine</v>
      </c>
      <c r="E9" s="132">
        <f>VLOOKUP(A9,saisie!B$7:AL$26,5,0)</f>
        <v>97.7</v>
      </c>
      <c r="F9" s="133">
        <f>VLOOKUP(A9,saisie!B$7:AL$26,6,0)</f>
        <v>93.6</v>
      </c>
      <c r="G9" s="133">
        <f>VLOOKUP(A9,saisie!B$7:AL$26,7,0)</f>
        <v>95.1</v>
      </c>
      <c r="H9" s="134">
        <f>VLOOKUP(A9,saisie!B$7:AL$26,8,0)</f>
        <v>286.4</v>
      </c>
      <c r="I9" s="135">
        <f>VLOOKUP(A9,saisie!B$7:AL$26,9,0)</f>
        <v>0</v>
      </c>
      <c r="J9" s="136" t="str">
        <f>VLOOKUP(A9,saisie!B$7:AL$26,10,0)</f>
        <v>GOURIET Nicolas</v>
      </c>
      <c r="K9" s="133">
        <f>VLOOKUP(A9,saisie!B$7:AL$26,11,0)</f>
        <v>88.4</v>
      </c>
      <c r="L9" s="133">
        <f>VLOOKUP(A9,saisie!B$7:AL$26,12,0)</f>
        <v>88</v>
      </c>
      <c r="M9" s="133">
        <f>VLOOKUP(A9,saisie!B$7:AL$26,13,0)</f>
        <v>94.4</v>
      </c>
      <c r="N9" s="137">
        <f>VLOOKUP(A9,saisie!B$7:AL$26,14,0)</f>
        <v>270.8</v>
      </c>
      <c r="O9" s="138">
        <f>VLOOKUP(A9,saisie!B$7:AL$26,15,0)</f>
        <v>0</v>
      </c>
      <c r="P9" s="136" t="str">
        <f>VLOOKUP(A9,saisie!B$7:AL$26,16,0)</f>
        <v>DELILLE Théo</v>
      </c>
      <c r="Q9" s="133">
        <f>VLOOKUP(A9,saisie!B$7:AL$26,17,0)</f>
        <v>90.1</v>
      </c>
      <c r="R9" s="133">
        <f>VLOOKUP(A9,saisie!B$7:AL$26,18,0)</f>
        <v>80.7</v>
      </c>
      <c r="S9" s="133">
        <f>VLOOKUP(A9,saisie!B$7:AL$26,19,0)</f>
        <v>80.2</v>
      </c>
      <c r="T9" s="137">
        <f>VLOOKUP(A9,saisie!B$7:AL$26,20,0)</f>
        <v>251</v>
      </c>
      <c r="U9" s="138">
        <f>VLOOKUP(A9,saisie!B$7:AL$26,21,0)</f>
        <v>0</v>
      </c>
      <c r="V9" s="136" t="str">
        <f>VLOOKUP(A9,saisie!B$7:AL$26,22,0)</f>
        <v>PROFICET Quentin</v>
      </c>
      <c r="W9" s="133">
        <f>VLOOKUP(A9,saisie!B$7:AL$26,23,0)</f>
        <v>102.5</v>
      </c>
      <c r="X9" s="133">
        <f>VLOOKUP(A9,saisie!B$7:AL$26,24,0)</f>
        <v>101.8</v>
      </c>
      <c r="Y9" s="133">
        <f>VLOOKUP(A9,saisie!B$7:AL$26,25,0)</f>
        <v>98.9</v>
      </c>
      <c r="Z9" s="137">
        <f>VLOOKUP(A9,saisie!B$7:AL$26,26,0)</f>
        <v>303.2</v>
      </c>
      <c r="AA9" s="138">
        <f>VLOOKUP(A9,saisie!B$7:AL$26,27,0)</f>
        <v>0</v>
      </c>
      <c r="AB9" s="136" t="str">
        <f>VLOOKUP(A9,saisie!B$7:AL$26,28,0)</f>
        <v>NOE Pierre</v>
      </c>
      <c r="AC9" s="133">
        <f>VLOOKUP(A9,saisie!B$7:AL$26,29,0)</f>
        <v>70.1</v>
      </c>
      <c r="AD9" s="133">
        <f>VLOOKUP(A9,saisie!B$7:AL$26,30,0)</f>
        <v>60.1</v>
      </c>
      <c r="AE9" s="133">
        <f>VLOOKUP(A9,saisie!B$7:AL$26,31,0)</f>
        <v>66.8</v>
      </c>
      <c r="AF9" s="137">
        <f>VLOOKUP(A9,saisie!B$7:AL$26,32,0)</f>
        <v>197</v>
      </c>
      <c r="AG9" s="138">
        <f>VLOOKUP(A9,saisie!B$7:AL$26,33,0)</f>
        <v>0</v>
      </c>
      <c r="AH9" s="139">
        <f>VLOOKUP(A9,saisie!B$7:AL$26,34,0)</f>
        <v>1308.4</v>
      </c>
      <c r="AI9" s="140">
        <f>VLOOKUP(A9,saisie!B$7:AL$26,35,0)</f>
        <v>0</v>
      </c>
      <c r="AJ9" s="141"/>
    </row>
    <row r="10" spans="1:36" s="142" customFormat="1" ht="153" customHeight="1">
      <c r="A10" s="128">
        <f>IF(INFO!B8&gt;3,4,"")</f>
      </c>
      <c r="B10" s="129"/>
      <c r="C10" s="130"/>
      <c r="D10" s="131"/>
      <c r="E10" s="132"/>
      <c r="F10" s="133"/>
      <c r="G10" s="133"/>
      <c r="H10" s="134"/>
      <c r="I10" s="135"/>
      <c r="J10" s="136"/>
      <c r="K10" s="133"/>
      <c r="L10" s="133"/>
      <c r="M10" s="133"/>
      <c r="N10" s="137"/>
      <c r="O10" s="138"/>
      <c r="P10" s="136"/>
      <c r="Q10" s="133"/>
      <c r="R10" s="133"/>
      <c r="S10" s="133"/>
      <c r="T10" s="137"/>
      <c r="U10" s="138"/>
      <c r="V10" s="136"/>
      <c r="W10" s="133"/>
      <c r="X10" s="133"/>
      <c r="Y10" s="133"/>
      <c r="Z10" s="137"/>
      <c r="AA10" s="138"/>
      <c r="AB10" s="136"/>
      <c r="AC10" s="133"/>
      <c r="AD10" s="133"/>
      <c r="AE10" s="133"/>
      <c r="AF10" s="137"/>
      <c r="AG10" s="138"/>
      <c r="AH10" s="139"/>
      <c r="AI10" s="140" t="e">
        <f>VLOOKUP(A10,saisie!B$7:AL$26,35,0)</f>
        <v>#N/A</v>
      </c>
      <c r="AJ10" s="141"/>
    </row>
    <row r="11" spans="1:36" s="142" customFormat="1" ht="153" customHeight="1">
      <c r="A11" s="128">
        <f>IF(INFO!B8&gt;4,5,"")</f>
      </c>
      <c r="B11" s="129"/>
      <c r="C11" s="130"/>
      <c r="D11" s="131"/>
      <c r="E11" s="132"/>
      <c r="F11" s="133"/>
      <c r="G11" s="133"/>
      <c r="H11" s="134"/>
      <c r="I11" s="135"/>
      <c r="J11" s="136"/>
      <c r="K11" s="133"/>
      <c r="L11" s="133"/>
      <c r="M11" s="133"/>
      <c r="N11" s="137"/>
      <c r="O11" s="138"/>
      <c r="P11" s="136"/>
      <c r="Q11" s="133"/>
      <c r="R11" s="133"/>
      <c r="S11" s="133"/>
      <c r="T11" s="137"/>
      <c r="U11" s="138"/>
      <c r="V11" s="136"/>
      <c r="W11" s="133"/>
      <c r="X11" s="133"/>
      <c r="Y11" s="133"/>
      <c r="Z11" s="137"/>
      <c r="AA11" s="138"/>
      <c r="AB11" s="136"/>
      <c r="AC11" s="133"/>
      <c r="AD11" s="133"/>
      <c r="AE11" s="133"/>
      <c r="AF11" s="137"/>
      <c r="AG11" s="138"/>
      <c r="AH11" s="139"/>
      <c r="AI11" s="140" t="e">
        <f>VLOOKUP(A11,saisie!B$7:AL$26,35,0)</f>
        <v>#N/A</v>
      </c>
      <c r="AJ11" s="141"/>
    </row>
    <row r="12" spans="1:36" s="142" customFormat="1" ht="153" customHeight="1">
      <c r="A12" s="128">
        <f>IF(INFO!B8&gt;5,6,"")</f>
      </c>
      <c r="B12" s="129"/>
      <c r="C12" s="130"/>
      <c r="D12" s="131"/>
      <c r="E12" s="132"/>
      <c r="F12" s="133"/>
      <c r="G12" s="133"/>
      <c r="H12" s="134"/>
      <c r="I12" s="135"/>
      <c r="J12" s="136"/>
      <c r="K12" s="133"/>
      <c r="L12" s="133"/>
      <c r="M12" s="133"/>
      <c r="N12" s="137"/>
      <c r="O12" s="138"/>
      <c r="P12" s="136"/>
      <c r="Q12" s="133"/>
      <c r="R12" s="133"/>
      <c r="S12" s="133"/>
      <c r="T12" s="137"/>
      <c r="U12" s="138"/>
      <c r="V12" s="136"/>
      <c r="W12" s="133"/>
      <c r="X12" s="133"/>
      <c r="Y12" s="133"/>
      <c r="Z12" s="137"/>
      <c r="AA12" s="138"/>
      <c r="AB12" s="136"/>
      <c r="AC12" s="133"/>
      <c r="AD12" s="133"/>
      <c r="AE12" s="133"/>
      <c r="AF12" s="137"/>
      <c r="AG12" s="138"/>
      <c r="AH12" s="139"/>
      <c r="AI12" s="140" t="e">
        <f>VLOOKUP(A12,saisie!B$7:AL$26,35,0)</f>
        <v>#N/A</v>
      </c>
      <c r="AJ12" s="141"/>
    </row>
    <row r="13" spans="1:36" s="142" customFormat="1" ht="153" customHeight="1">
      <c r="A13" s="128">
        <f>IF(INFO!B8&gt;6,7,"")</f>
      </c>
      <c r="B13" s="129" t="e">
        <f>VLOOKUP(A13,saisie!B$7:AL$26,2,0)</f>
        <v>#N/A</v>
      </c>
      <c r="C13" s="130" t="e">
        <f>VLOOKUP(A13,saisie!B$7:AL$26,3,0)</f>
        <v>#N/A</v>
      </c>
      <c r="D13" s="131" t="e">
        <f>VLOOKUP(A13,saisie!B$7:AL$26,4,0)</f>
        <v>#N/A</v>
      </c>
      <c r="E13" s="132" t="e">
        <f>VLOOKUP(A13,saisie!B$7:AL$26,5,0)</f>
        <v>#N/A</v>
      </c>
      <c r="F13" s="133" t="e">
        <f>VLOOKUP(A13,saisie!B$7:AL$26,6,0)</f>
        <v>#N/A</v>
      </c>
      <c r="G13" s="133" t="e">
        <f>VLOOKUP(A13,saisie!B$7:AL$26,7,0)</f>
        <v>#N/A</v>
      </c>
      <c r="H13" s="134" t="e">
        <f>VLOOKUP(A13,saisie!B$7:AL$26,8,0)</f>
        <v>#N/A</v>
      </c>
      <c r="I13" s="135" t="e">
        <f>VLOOKUP(A13,saisie!B$7:AL$26,9,0)</f>
        <v>#N/A</v>
      </c>
      <c r="J13" s="136" t="e">
        <f>VLOOKUP(A13,saisie!B$7:AL$26,10,0)</f>
        <v>#N/A</v>
      </c>
      <c r="K13" s="133" t="e">
        <f>VLOOKUP(A13,saisie!B$7:AL$26,11,0)</f>
        <v>#N/A</v>
      </c>
      <c r="L13" s="133" t="e">
        <f>VLOOKUP(A13,saisie!B$7:AL$26,12,0)</f>
        <v>#N/A</v>
      </c>
      <c r="M13" s="133" t="e">
        <f>VLOOKUP(A13,saisie!B$7:AL$26,13,0)</f>
        <v>#N/A</v>
      </c>
      <c r="N13" s="137" t="e">
        <f>VLOOKUP(A13,saisie!B$7:AL$26,14,0)</f>
        <v>#N/A</v>
      </c>
      <c r="O13" s="138" t="e">
        <f>VLOOKUP(A13,saisie!B$7:AL$26,15,0)</f>
        <v>#N/A</v>
      </c>
      <c r="P13" s="136" t="e">
        <f>VLOOKUP(A13,saisie!B$7:AL$26,16,0)</f>
        <v>#N/A</v>
      </c>
      <c r="Q13" s="133" t="e">
        <f>VLOOKUP(A13,saisie!B$7:AL$26,17,0)</f>
        <v>#N/A</v>
      </c>
      <c r="R13" s="133" t="e">
        <f>VLOOKUP(A13,saisie!B$7:AL$26,18,0)</f>
        <v>#N/A</v>
      </c>
      <c r="S13" s="133" t="e">
        <f>VLOOKUP(A13,saisie!B$7:AL$26,19,0)</f>
        <v>#N/A</v>
      </c>
      <c r="T13" s="137" t="e">
        <f>VLOOKUP(A13,saisie!B$7:AL$26,20,0)</f>
        <v>#N/A</v>
      </c>
      <c r="U13" s="138" t="e">
        <f>VLOOKUP(A13,saisie!B$7:AL$26,21,0)</f>
        <v>#N/A</v>
      </c>
      <c r="V13" s="136" t="e">
        <f>VLOOKUP(A13,saisie!B$7:AL$26,22,0)</f>
        <v>#N/A</v>
      </c>
      <c r="W13" s="133" t="e">
        <f>VLOOKUP(A13,saisie!B$7:AL$26,23,0)</f>
        <v>#N/A</v>
      </c>
      <c r="X13" s="133" t="e">
        <f>VLOOKUP(A13,saisie!B$7:AL$26,24,0)</f>
        <v>#N/A</v>
      </c>
      <c r="Y13" s="133" t="e">
        <f>VLOOKUP(A13,saisie!B$7:AL$26,25,0)</f>
        <v>#N/A</v>
      </c>
      <c r="Z13" s="137" t="e">
        <f>VLOOKUP(A13,saisie!B$7:AL$26,26,0)</f>
        <v>#N/A</v>
      </c>
      <c r="AA13" s="138" t="e">
        <f>VLOOKUP(A13,saisie!B$7:AL$26,27,0)</f>
        <v>#N/A</v>
      </c>
      <c r="AB13" s="136" t="e">
        <f>VLOOKUP(A13,saisie!B$7:AL$26,28,0)</f>
        <v>#N/A</v>
      </c>
      <c r="AC13" s="133" t="e">
        <f>VLOOKUP(A13,saisie!B$7:AL$26,29,0)</f>
        <v>#N/A</v>
      </c>
      <c r="AD13" s="133" t="e">
        <f>VLOOKUP(A13,saisie!B$7:AL$26,30,0)</f>
        <v>#N/A</v>
      </c>
      <c r="AE13" s="133" t="e">
        <f>VLOOKUP(A13,saisie!B$7:AL$26,31,0)</f>
        <v>#N/A</v>
      </c>
      <c r="AF13" s="137" t="e">
        <f>VLOOKUP(A13,saisie!B$7:AL$26,32,0)</f>
        <v>#N/A</v>
      </c>
      <c r="AG13" s="138" t="e">
        <f>VLOOKUP(A13,saisie!B$7:AL$26,33,0)</f>
        <v>#N/A</v>
      </c>
      <c r="AH13" s="139" t="e">
        <f>VLOOKUP(A13,saisie!B$7:AL$26,34,0)</f>
        <v>#N/A</v>
      </c>
      <c r="AI13" s="140" t="e">
        <f>VLOOKUP(A13,saisie!B$7:AL$26,35,0)</f>
        <v>#N/A</v>
      </c>
      <c r="AJ13" s="141"/>
    </row>
    <row r="14" spans="1:36" s="142" customFormat="1" ht="153" customHeight="1">
      <c r="A14" s="128">
        <f>IF(INFO!B8&gt;7,8,"")</f>
      </c>
      <c r="B14" s="129" t="e">
        <f>VLOOKUP(A14,saisie!B$7:AL$26,2,0)</f>
        <v>#N/A</v>
      </c>
      <c r="C14" s="130" t="e">
        <f>VLOOKUP(A14,saisie!B$7:AL$26,3,0)</f>
        <v>#N/A</v>
      </c>
      <c r="D14" s="131" t="e">
        <f>VLOOKUP(A14,saisie!B$7:AL$26,4,0)</f>
        <v>#N/A</v>
      </c>
      <c r="E14" s="132" t="e">
        <f>VLOOKUP(A14,saisie!B$7:AL$26,5,0)</f>
        <v>#N/A</v>
      </c>
      <c r="F14" s="133" t="e">
        <f>VLOOKUP(A14,saisie!B$7:AL$26,6,0)</f>
        <v>#N/A</v>
      </c>
      <c r="G14" s="133" t="e">
        <f>VLOOKUP(A14,saisie!B$7:AL$26,7,0)</f>
        <v>#N/A</v>
      </c>
      <c r="H14" s="134" t="e">
        <f>VLOOKUP(A14,saisie!B$7:AL$26,8,0)</f>
        <v>#N/A</v>
      </c>
      <c r="I14" s="135" t="e">
        <f>VLOOKUP(A14,saisie!B$7:AL$26,9,0)</f>
        <v>#N/A</v>
      </c>
      <c r="J14" s="136" t="e">
        <f>VLOOKUP(A14,saisie!B$7:AL$26,10,0)</f>
        <v>#N/A</v>
      </c>
      <c r="K14" s="133" t="e">
        <f>VLOOKUP(A14,saisie!B$7:AL$26,11,0)</f>
        <v>#N/A</v>
      </c>
      <c r="L14" s="133" t="e">
        <f>VLOOKUP(A14,saisie!B$7:AL$26,12,0)</f>
        <v>#N/A</v>
      </c>
      <c r="M14" s="133" t="e">
        <f>VLOOKUP(A14,saisie!B$7:AL$26,13,0)</f>
        <v>#N/A</v>
      </c>
      <c r="N14" s="137" t="e">
        <f>VLOOKUP(A14,saisie!B$7:AL$26,14,0)</f>
        <v>#N/A</v>
      </c>
      <c r="O14" s="138" t="e">
        <f>VLOOKUP(A14,saisie!B$7:AL$26,15,0)</f>
        <v>#N/A</v>
      </c>
      <c r="P14" s="136" t="e">
        <f>VLOOKUP(A14,saisie!B$7:AL$26,16,0)</f>
        <v>#N/A</v>
      </c>
      <c r="Q14" s="133" t="e">
        <f>VLOOKUP(A14,saisie!B$7:AL$26,17,0)</f>
        <v>#N/A</v>
      </c>
      <c r="R14" s="133" t="e">
        <f>VLOOKUP(A14,saisie!B$7:AL$26,18,0)</f>
        <v>#N/A</v>
      </c>
      <c r="S14" s="133" t="e">
        <f>VLOOKUP(A14,saisie!B$7:AL$26,19,0)</f>
        <v>#N/A</v>
      </c>
      <c r="T14" s="137" t="e">
        <f>VLOOKUP(A14,saisie!B$7:AL$26,20,0)</f>
        <v>#N/A</v>
      </c>
      <c r="U14" s="138" t="e">
        <f>VLOOKUP(A14,saisie!B$7:AL$26,21,0)</f>
        <v>#N/A</v>
      </c>
      <c r="V14" s="136" t="e">
        <f>VLOOKUP(A14,saisie!B$7:AL$26,22,0)</f>
        <v>#N/A</v>
      </c>
      <c r="W14" s="133" t="e">
        <f>VLOOKUP(A14,saisie!B$7:AL$26,23,0)</f>
        <v>#N/A</v>
      </c>
      <c r="X14" s="133" t="e">
        <f>VLOOKUP(A14,saisie!B$7:AL$26,24,0)</f>
        <v>#N/A</v>
      </c>
      <c r="Y14" s="133" t="e">
        <f>VLOOKUP(A14,saisie!B$7:AL$26,25,0)</f>
        <v>#N/A</v>
      </c>
      <c r="Z14" s="137" t="e">
        <f>VLOOKUP(A14,saisie!B$7:AL$26,26,0)</f>
        <v>#N/A</v>
      </c>
      <c r="AA14" s="138" t="e">
        <f>VLOOKUP(A14,saisie!B$7:AL$26,27,0)</f>
        <v>#N/A</v>
      </c>
      <c r="AB14" s="136" t="e">
        <f>VLOOKUP(A14,saisie!B$7:AL$26,28,0)</f>
        <v>#N/A</v>
      </c>
      <c r="AC14" s="133" t="e">
        <f>VLOOKUP(A14,saisie!B$7:AL$26,29,0)</f>
        <v>#N/A</v>
      </c>
      <c r="AD14" s="133" t="e">
        <f>VLOOKUP(A14,saisie!B$7:AL$26,30,0)</f>
        <v>#N/A</v>
      </c>
      <c r="AE14" s="133" t="e">
        <f>VLOOKUP(A14,saisie!B$7:AL$26,31,0)</f>
        <v>#N/A</v>
      </c>
      <c r="AF14" s="137" t="e">
        <f>VLOOKUP(A14,saisie!B$7:AL$26,32,0)</f>
        <v>#N/A</v>
      </c>
      <c r="AG14" s="138" t="e">
        <f>VLOOKUP(A14,saisie!B$7:AL$26,33,0)</f>
        <v>#N/A</v>
      </c>
      <c r="AH14" s="139" t="e">
        <f>VLOOKUP(A14,saisie!B$7:AL$26,34,0)</f>
        <v>#N/A</v>
      </c>
      <c r="AI14" s="140" t="e">
        <f>VLOOKUP(A14,saisie!B$7:AL$26,35,0)</f>
        <v>#N/A</v>
      </c>
      <c r="AJ14" s="141"/>
    </row>
    <row r="15" spans="1:36" s="142" customFormat="1" ht="153" customHeight="1">
      <c r="A15" s="128">
        <f>IF(INFO!B8&gt;8,9,"")</f>
      </c>
      <c r="B15" s="129" t="e">
        <f>VLOOKUP(A15,saisie!B$7:AL$26,2,0)</f>
        <v>#N/A</v>
      </c>
      <c r="C15" s="130" t="e">
        <f>VLOOKUP(A15,saisie!B$7:AL$26,3,0)</f>
        <v>#N/A</v>
      </c>
      <c r="D15" s="131" t="e">
        <f>VLOOKUP(A15,saisie!B$7:AL$26,4,0)</f>
        <v>#N/A</v>
      </c>
      <c r="E15" s="132" t="e">
        <f>VLOOKUP(A15,saisie!B$7:AL$26,5,0)</f>
        <v>#N/A</v>
      </c>
      <c r="F15" s="133" t="e">
        <f>VLOOKUP(A15,saisie!B$7:AL$26,6,0)</f>
        <v>#N/A</v>
      </c>
      <c r="G15" s="133" t="e">
        <f>VLOOKUP(A15,saisie!B$7:AL$26,7,0)</f>
        <v>#N/A</v>
      </c>
      <c r="H15" s="134" t="e">
        <f>VLOOKUP(A15,saisie!B$7:AL$26,8,0)</f>
        <v>#N/A</v>
      </c>
      <c r="I15" s="135" t="e">
        <f>VLOOKUP(A15,saisie!B$7:AL$26,9,0)</f>
        <v>#N/A</v>
      </c>
      <c r="J15" s="136" t="e">
        <f>VLOOKUP(A15,saisie!B$7:AL$26,10,0)</f>
        <v>#N/A</v>
      </c>
      <c r="K15" s="133" t="e">
        <f>VLOOKUP(A15,saisie!B$7:AL$26,11,0)</f>
        <v>#N/A</v>
      </c>
      <c r="L15" s="133" t="e">
        <f>VLOOKUP(A15,saisie!B$7:AL$26,12,0)</f>
        <v>#N/A</v>
      </c>
      <c r="M15" s="133" t="e">
        <f>VLOOKUP(A15,saisie!B$7:AL$26,13,0)</f>
        <v>#N/A</v>
      </c>
      <c r="N15" s="137" t="e">
        <f>VLOOKUP(A15,saisie!B$7:AL$26,14,0)</f>
        <v>#N/A</v>
      </c>
      <c r="O15" s="138" t="e">
        <f>VLOOKUP(A15,saisie!B$7:AL$26,15,0)</f>
        <v>#N/A</v>
      </c>
      <c r="P15" s="136" t="e">
        <f>VLOOKUP(A15,saisie!B$7:AL$26,16,0)</f>
        <v>#N/A</v>
      </c>
      <c r="Q15" s="133" t="e">
        <f>VLOOKUP(A15,saisie!B$7:AL$26,17,0)</f>
        <v>#N/A</v>
      </c>
      <c r="R15" s="133" t="e">
        <f>VLOOKUP(A15,saisie!B$7:AL$26,18,0)</f>
        <v>#N/A</v>
      </c>
      <c r="S15" s="133" t="e">
        <f>VLOOKUP(A15,saisie!B$7:AL$26,19,0)</f>
        <v>#N/A</v>
      </c>
      <c r="T15" s="137" t="e">
        <f>VLOOKUP(A15,saisie!B$7:AL$26,20,0)</f>
        <v>#N/A</v>
      </c>
      <c r="U15" s="138" t="e">
        <f>VLOOKUP(A15,saisie!B$7:AL$26,21,0)</f>
        <v>#N/A</v>
      </c>
      <c r="V15" s="136" t="e">
        <f>VLOOKUP(A15,saisie!B$7:AL$26,22,0)</f>
        <v>#N/A</v>
      </c>
      <c r="W15" s="133" t="e">
        <f>VLOOKUP(A15,saisie!B$7:AL$26,23,0)</f>
        <v>#N/A</v>
      </c>
      <c r="X15" s="133" t="e">
        <f>VLOOKUP(A15,saisie!B$7:AL$26,24,0)</f>
        <v>#N/A</v>
      </c>
      <c r="Y15" s="133" t="e">
        <f>VLOOKUP(A15,saisie!B$7:AL$26,25,0)</f>
        <v>#N/A</v>
      </c>
      <c r="Z15" s="137" t="e">
        <f>VLOOKUP(A15,saisie!B$7:AL$26,26,0)</f>
        <v>#N/A</v>
      </c>
      <c r="AA15" s="138" t="e">
        <f>VLOOKUP(A15,saisie!B$7:AL$26,27,0)</f>
        <v>#N/A</v>
      </c>
      <c r="AB15" s="136" t="e">
        <f>VLOOKUP(A15,saisie!B$7:AL$26,28,0)</f>
        <v>#N/A</v>
      </c>
      <c r="AC15" s="133" t="e">
        <f>VLOOKUP(A15,saisie!B$7:AL$26,29,0)</f>
        <v>#N/A</v>
      </c>
      <c r="AD15" s="133" t="e">
        <f>VLOOKUP(A15,saisie!B$7:AL$26,30,0)</f>
        <v>#N/A</v>
      </c>
      <c r="AE15" s="133" t="e">
        <f>VLOOKUP(A15,saisie!B$7:AL$26,31,0)</f>
        <v>#N/A</v>
      </c>
      <c r="AF15" s="137" t="e">
        <f>VLOOKUP(A15,saisie!B$7:AL$26,32,0)</f>
        <v>#N/A</v>
      </c>
      <c r="AG15" s="138" t="e">
        <f>VLOOKUP(A15,saisie!B$7:AL$26,33,0)</f>
        <v>#N/A</v>
      </c>
      <c r="AH15" s="139" t="e">
        <f>VLOOKUP(A15,saisie!B$7:AL$26,34,0)</f>
        <v>#N/A</v>
      </c>
      <c r="AI15" s="140" t="e">
        <f>VLOOKUP(A15,saisie!B$7:AL$26,35,0)</f>
        <v>#N/A</v>
      </c>
      <c r="AJ15" s="141"/>
    </row>
    <row r="16" spans="1:36" s="142" customFormat="1" ht="153" customHeight="1">
      <c r="A16" s="128">
        <f>IF(INFO!B8&gt;9,10,"")</f>
      </c>
      <c r="B16" s="129" t="e">
        <f>VLOOKUP(A16,saisie!B$7:AL$26,2,0)</f>
        <v>#N/A</v>
      </c>
      <c r="C16" s="130" t="e">
        <f>VLOOKUP(A16,saisie!B$7:AL$26,3,0)</f>
        <v>#N/A</v>
      </c>
      <c r="D16" s="131" t="e">
        <f>VLOOKUP(A16,saisie!B$7:AL$26,4,0)</f>
        <v>#N/A</v>
      </c>
      <c r="E16" s="132" t="e">
        <f>VLOOKUP(A16,saisie!B$7:AL$26,5,0)</f>
        <v>#N/A</v>
      </c>
      <c r="F16" s="133" t="e">
        <f>VLOOKUP(A16,saisie!B$7:AL$26,6,0)</f>
        <v>#N/A</v>
      </c>
      <c r="G16" s="133" t="e">
        <f>VLOOKUP(A16,saisie!B$7:AL$26,7,0)</f>
        <v>#N/A</v>
      </c>
      <c r="H16" s="134" t="e">
        <f>VLOOKUP(A16,saisie!B$7:AL$26,8,0)</f>
        <v>#N/A</v>
      </c>
      <c r="I16" s="135" t="e">
        <f>VLOOKUP(A16,saisie!B$7:AL$26,9,0)</f>
        <v>#N/A</v>
      </c>
      <c r="J16" s="136" t="e">
        <f>VLOOKUP(A16,saisie!B$7:AL$26,10,0)</f>
        <v>#N/A</v>
      </c>
      <c r="K16" s="133" t="e">
        <f>VLOOKUP(A16,saisie!B$7:AL$26,11,0)</f>
        <v>#N/A</v>
      </c>
      <c r="L16" s="133" t="e">
        <f>VLOOKUP(A16,saisie!B$7:AL$26,12,0)</f>
        <v>#N/A</v>
      </c>
      <c r="M16" s="133" t="e">
        <f>VLOOKUP(A16,saisie!B$7:AL$26,13,0)</f>
        <v>#N/A</v>
      </c>
      <c r="N16" s="137" t="e">
        <f>VLOOKUP(A16,saisie!B$7:AL$26,14,0)</f>
        <v>#N/A</v>
      </c>
      <c r="O16" s="138" t="e">
        <f>VLOOKUP(A16,saisie!B$7:AL$26,15,0)</f>
        <v>#N/A</v>
      </c>
      <c r="P16" s="136" t="e">
        <f>VLOOKUP(A16,saisie!B$7:AL$26,16,0)</f>
        <v>#N/A</v>
      </c>
      <c r="Q16" s="133" t="e">
        <f>VLOOKUP(A16,saisie!B$7:AL$26,17,0)</f>
        <v>#N/A</v>
      </c>
      <c r="R16" s="133" t="e">
        <f>VLOOKUP(A16,saisie!B$7:AL$26,18,0)</f>
        <v>#N/A</v>
      </c>
      <c r="S16" s="133" t="e">
        <f>VLOOKUP(A16,saisie!B$7:AL$26,19,0)</f>
        <v>#N/A</v>
      </c>
      <c r="T16" s="137" t="e">
        <f>VLOOKUP(A16,saisie!B$7:AL$26,20,0)</f>
        <v>#N/A</v>
      </c>
      <c r="U16" s="138" t="e">
        <f>VLOOKUP(A16,saisie!B$7:AL$26,21,0)</f>
        <v>#N/A</v>
      </c>
      <c r="V16" s="136" t="e">
        <f>VLOOKUP(A16,saisie!B$7:AL$26,22,0)</f>
        <v>#N/A</v>
      </c>
      <c r="W16" s="133" t="e">
        <f>VLOOKUP(A16,saisie!B$7:AL$26,23,0)</f>
        <v>#N/A</v>
      </c>
      <c r="X16" s="133" t="e">
        <f>VLOOKUP(A16,saisie!B$7:AL$26,24,0)</f>
        <v>#N/A</v>
      </c>
      <c r="Y16" s="133" t="e">
        <f>VLOOKUP(A16,saisie!B$7:AL$26,25,0)</f>
        <v>#N/A</v>
      </c>
      <c r="Z16" s="137" t="e">
        <f>VLOOKUP(A16,saisie!B$7:AL$26,26,0)</f>
        <v>#N/A</v>
      </c>
      <c r="AA16" s="138" t="e">
        <f>VLOOKUP(A16,saisie!B$7:AL$26,27,0)</f>
        <v>#N/A</v>
      </c>
      <c r="AB16" s="136" t="e">
        <f>VLOOKUP(A16,saisie!B$7:AL$26,28,0)</f>
        <v>#N/A</v>
      </c>
      <c r="AC16" s="133" t="e">
        <f>VLOOKUP(A16,saisie!B$7:AL$26,29,0)</f>
        <v>#N/A</v>
      </c>
      <c r="AD16" s="133" t="e">
        <f>VLOOKUP(A16,saisie!B$7:AL$26,30,0)</f>
        <v>#N/A</v>
      </c>
      <c r="AE16" s="133" t="e">
        <f>VLOOKUP(A16,saisie!B$7:AL$26,31,0)</f>
        <v>#N/A</v>
      </c>
      <c r="AF16" s="137" t="e">
        <f>VLOOKUP(A16,saisie!B$7:AL$26,32,0)</f>
        <v>#N/A</v>
      </c>
      <c r="AG16" s="138" t="e">
        <f>VLOOKUP(A16,saisie!B$7:AL$26,33,0)</f>
        <v>#N/A</v>
      </c>
      <c r="AH16" s="139" t="e">
        <f>VLOOKUP(A16,saisie!B$7:AL$26,34,0)</f>
        <v>#N/A</v>
      </c>
      <c r="AI16" s="140" t="e">
        <f>VLOOKUP(A16,saisie!B$7:AL$26,35,0)</f>
        <v>#N/A</v>
      </c>
      <c r="AJ16" s="141"/>
    </row>
    <row r="17" spans="1:36" s="142" customFormat="1" ht="153" customHeight="1">
      <c r="A17" s="128">
        <f>IF(INFO!B8&gt;10,11,"")</f>
      </c>
      <c r="B17" s="129" t="e">
        <f>VLOOKUP(A17,saisie!B$7:AL$26,2,0)</f>
        <v>#N/A</v>
      </c>
      <c r="C17" s="130" t="e">
        <f>VLOOKUP(A17,saisie!B$7:AL$26,3,0)</f>
        <v>#N/A</v>
      </c>
      <c r="D17" s="131" t="e">
        <f>VLOOKUP(A17,saisie!B$7:AL$26,4,0)</f>
        <v>#N/A</v>
      </c>
      <c r="E17" s="132" t="e">
        <f>VLOOKUP(A17,saisie!B$7:AL$26,5,0)</f>
        <v>#N/A</v>
      </c>
      <c r="F17" s="133" t="e">
        <f>VLOOKUP(A17,saisie!B$7:AL$26,6,0)</f>
        <v>#N/A</v>
      </c>
      <c r="G17" s="133" t="e">
        <f>VLOOKUP(A17,saisie!B$7:AL$26,7,0)</f>
        <v>#N/A</v>
      </c>
      <c r="H17" s="134" t="e">
        <f>VLOOKUP(A17,saisie!B$7:AL$26,8,0)</f>
        <v>#N/A</v>
      </c>
      <c r="I17" s="135" t="e">
        <f>VLOOKUP(A17,saisie!B$7:AL$26,9,0)</f>
        <v>#N/A</v>
      </c>
      <c r="J17" s="136" t="e">
        <f>VLOOKUP(A17,saisie!B$7:AL$26,10,0)</f>
        <v>#N/A</v>
      </c>
      <c r="K17" s="133" t="e">
        <f>VLOOKUP(A17,saisie!B$7:AL$26,11,0)</f>
        <v>#N/A</v>
      </c>
      <c r="L17" s="133" t="e">
        <f>VLOOKUP(A17,saisie!B$7:AL$26,12,0)</f>
        <v>#N/A</v>
      </c>
      <c r="M17" s="133" t="e">
        <f>VLOOKUP(A17,saisie!B$7:AL$26,13,0)</f>
        <v>#N/A</v>
      </c>
      <c r="N17" s="137" t="e">
        <f>VLOOKUP(A17,saisie!B$7:AL$26,14,0)</f>
        <v>#N/A</v>
      </c>
      <c r="O17" s="138" t="e">
        <f>VLOOKUP(A17,saisie!B$7:AL$26,15,0)</f>
        <v>#N/A</v>
      </c>
      <c r="P17" s="136" t="e">
        <f>VLOOKUP(A17,saisie!B$7:AL$26,16,0)</f>
        <v>#N/A</v>
      </c>
      <c r="Q17" s="133" t="e">
        <f>VLOOKUP(A17,saisie!B$7:AL$26,17,0)</f>
        <v>#N/A</v>
      </c>
      <c r="R17" s="133" t="e">
        <f>VLOOKUP(A17,saisie!B$7:AL$26,18,0)</f>
        <v>#N/A</v>
      </c>
      <c r="S17" s="133" t="e">
        <f>VLOOKUP(A17,saisie!B$7:AL$26,19,0)</f>
        <v>#N/A</v>
      </c>
      <c r="T17" s="137" t="e">
        <f>VLOOKUP(A17,saisie!B$7:AL$26,20,0)</f>
        <v>#N/A</v>
      </c>
      <c r="U17" s="138" t="e">
        <f>VLOOKUP(A17,saisie!B$7:AL$26,21,0)</f>
        <v>#N/A</v>
      </c>
      <c r="V17" s="136" t="e">
        <f>VLOOKUP(A17,saisie!B$7:AL$26,22,0)</f>
        <v>#N/A</v>
      </c>
      <c r="W17" s="133" t="e">
        <f>VLOOKUP(A17,saisie!B$7:AL$26,23,0)</f>
        <v>#N/A</v>
      </c>
      <c r="X17" s="133" t="e">
        <f>VLOOKUP(A17,saisie!B$7:AL$26,24,0)</f>
        <v>#N/A</v>
      </c>
      <c r="Y17" s="133" t="e">
        <f>VLOOKUP(A17,saisie!B$7:AL$26,25,0)</f>
        <v>#N/A</v>
      </c>
      <c r="Z17" s="137" t="e">
        <f>VLOOKUP(A17,saisie!B$7:AL$26,26,0)</f>
        <v>#N/A</v>
      </c>
      <c r="AA17" s="138" t="e">
        <f>VLOOKUP(A17,saisie!B$7:AL$26,27,0)</f>
        <v>#N/A</v>
      </c>
      <c r="AB17" s="136" t="e">
        <f>VLOOKUP(A17,saisie!B$7:AL$26,28,0)</f>
        <v>#N/A</v>
      </c>
      <c r="AC17" s="133" t="e">
        <f>VLOOKUP(A17,saisie!B$7:AL$26,29,0)</f>
        <v>#N/A</v>
      </c>
      <c r="AD17" s="133" t="e">
        <f>VLOOKUP(A17,saisie!B$7:AL$26,30,0)</f>
        <v>#N/A</v>
      </c>
      <c r="AE17" s="133" t="e">
        <f>VLOOKUP(A17,saisie!B$7:AL$26,31,0)</f>
        <v>#N/A</v>
      </c>
      <c r="AF17" s="137" t="e">
        <f>VLOOKUP(A17,saisie!B$7:AL$26,32,0)</f>
        <v>#N/A</v>
      </c>
      <c r="AG17" s="138" t="e">
        <f>VLOOKUP(A17,saisie!B$7:AL$26,33,0)</f>
        <v>#N/A</v>
      </c>
      <c r="AH17" s="139" t="e">
        <f>VLOOKUP(A17,saisie!B$7:AL$26,34,0)</f>
        <v>#N/A</v>
      </c>
      <c r="AI17" s="140" t="e">
        <f>VLOOKUP(A17,saisie!B$7:AL$26,35,0)</f>
        <v>#N/A</v>
      </c>
      <c r="AJ17" s="141"/>
    </row>
    <row r="18" spans="1:36" s="142" customFormat="1" ht="153" customHeight="1">
      <c r="A18" s="128">
        <f>IF(INFO!B8&gt;11,12,"")</f>
      </c>
      <c r="B18" s="129" t="e">
        <f>VLOOKUP(A18,saisie!B$7:AL$26,2,0)</f>
        <v>#N/A</v>
      </c>
      <c r="C18" s="130" t="e">
        <f>VLOOKUP(A18,saisie!B$7:AL$26,3,0)</f>
        <v>#N/A</v>
      </c>
      <c r="D18" s="131" t="e">
        <f>VLOOKUP(A18,saisie!B$7:AL$26,4,0)</f>
        <v>#N/A</v>
      </c>
      <c r="E18" s="132" t="e">
        <f>VLOOKUP(A18,saisie!B$7:AL$26,5,0)</f>
        <v>#N/A</v>
      </c>
      <c r="F18" s="133" t="e">
        <f>VLOOKUP(A18,saisie!B$7:AL$26,6,0)</f>
        <v>#N/A</v>
      </c>
      <c r="G18" s="133" t="e">
        <f>VLOOKUP(A18,saisie!B$7:AL$26,7,0)</f>
        <v>#N/A</v>
      </c>
      <c r="H18" s="134" t="e">
        <f>VLOOKUP(A18,saisie!B$7:AL$26,8,0)</f>
        <v>#N/A</v>
      </c>
      <c r="I18" s="135" t="e">
        <f>VLOOKUP(A18,saisie!B$7:AL$26,9,0)</f>
        <v>#N/A</v>
      </c>
      <c r="J18" s="136" t="e">
        <f>VLOOKUP(A18,saisie!B$7:AL$26,10,0)</f>
        <v>#N/A</v>
      </c>
      <c r="K18" s="133" t="e">
        <f>VLOOKUP(A18,saisie!B$7:AL$26,11,0)</f>
        <v>#N/A</v>
      </c>
      <c r="L18" s="133" t="e">
        <f>VLOOKUP(A18,saisie!B$7:AL$26,12,0)</f>
        <v>#N/A</v>
      </c>
      <c r="M18" s="133" t="e">
        <f>VLOOKUP(A18,saisie!B$7:AL$26,13,0)</f>
        <v>#N/A</v>
      </c>
      <c r="N18" s="137" t="e">
        <f>VLOOKUP(A18,saisie!B$7:AL$26,14,0)</f>
        <v>#N/A</v>
      </c>
      <c r="O18" s="138" t="e">
        <f>VLOOKUP(A18,saisie!B$7:AL$26,15,0)</f>
        <v>#N/A</v>
      </c>
      <c r="P18" s="136" t="e">
        <f>VLOOKUP(A18,saisie!B$7:AL$26,16,0)</f>
        <v>#N/A</v>
      </c>
      <c r="Q18" s="133" t="e">
        <f>VLOOKUP(A18,saisie!B$7:AL$26,17,0)</f>
        <v>#N/A</v>
      </c>
      <c r="R18" s="133" t="e">
        <f>VLOOKUP(A18,saisie!B$7:AL$26,18,0)</f>
        <v>#N/A</v>
      </c>
      <c r="S18" s="133" t="e">
        <f>VLOOKUP(A18,saisie!B$7:AL$26,19,0)</f>
        <v>#N/A</v>
      </c>
      <c r="T18" s="137" t="e">
        <f>VLOOKUP(A18,saisie!B$7:AL$26,20,0)</f>
        <v>#N/A</v>
      </c>
      <c r="U18" s="138" t="e">
        <f>VLOOKUP(A18,saisie!B$7:AL$26,21,0)</f>
        <v>#N/A</v>
      </c>
      <c r="V18" s="136" t="e">
        <f>VLOOKUP(A18,saisie!B$7:AL$26,22,0)</f>
        <v>#N/A</v>
      </c>
      <c r="W18" s="133" t="e">
        <f>VLOOKUP(A18,saisie!B$7:AL$26,23,0)</f>
        <v>#N/A</v>
      </c>
      <c r="X18" s="133" t="e">
        <f>VLOOKUP(A18,saisie!B$7:AL$26,24,0)</f>
        <v>#N/A</v>
      </c>
      <c r="Y18" s="133" t="e">
        <f>VLOOKUP(A18,saisie!B$7:AL$26,25,0)</f>
        <v>#N/A</v>
      </c>
      <c r="Z18" s="137" t="e">
        <f>VLOOKUP(A18,saisie!B$7:AL$26,26,0)</f>
        <v>#N/A</v>
      </c>
      <c r="AA18" s="138" t="e">
        <f>VLOOKUP(A18,saisie!B$7:AL$26,27,0)</f>
        <v>#N/A</v>
      </c>
      <c r="AB18" s="136" t="e">
        <f>VLOOKUP(A18,saisie!B$7:AL$26,28,0)</f>
        <v>#N/A</v>
      </c>
      <c r="AC18" s="133" t="e">
        <f>VLOOKUP(A18,saisie!B$7:AL$26,29,0)</f>
        <v>#N/A</v>
      </c>
      <c r="AD18" s="133" t="e">
        <f>VLOOKUP(A18,saisie!B$7:AL$26,30,0)</f>
        <v>#N/A</v>
      </c>
      <c r="AE18" s="133" t="e">
        <f>VLOOKUP(A18,saisie!B$7:AL$26,31,0)</f>
        <v>#N/A</v>
      </c>
      <c r="AF18" s="137" t="e">
        <f>VLOOKUP(A18,saisie!B$7:AL$26,32,0)</f>
        <v>#N/A</v>
      </c>
      <c r="AG18" s="138" t="e">
        <f>VLOOKUP(A18,saisie!B$7:AL$26,33,0)</f>
        <v>#N/A</v>
      </c>
      <c r="AH18" s="139" t="e">
        <f>VLOOKUP(A18,saisie!B$7:AL$26,34,0)</f>
        <v>#N/A</v>
      </c>
      <c r="AI18" s="140" t="e">
        <f>VLOOKUP(A18,saisie!B$7:AL$26,35,0)</f>
        <v>#N/A</v>
      </c>
      <c r="AJ18" s="141"/>
    </row>
    <row r="19" spans="1:36" s="142" customFormat="1" ht="153" customHeight="1">
      <c r="A19" s="128">
        <f>IF(INFO!B8&gt;12,13,"")</f>
      </c>
      <c r="B19" s="129" t="e">
        <f>VLOOKUP(A19,saisie!B$7:AL$26,2,0)</f>
        <v>#N/A</v>
      </c>
      <c r="C19" s="130" t="e">
        <f>VLOOKUP(A19,saisie!B$7:AL$26,3,0)</f>
        <v>#N/A</v>
      </c>
      <c r="D19" s="131" t="e">
        <f>VLOOKUP(A19,saisie!B$7:AL$26,4,0)</f>
        <v>#N/A</v>
      </c>
      <c r="E19" s="132" t="e">
        <f>VLOOKUP(A19,saisie!B$7:AL$26,5,0)</f>
        <v>#N/A</v>
      </c>
      <c r="F19" s="133" t="e">
        <f>VLOOKUP(A19,saisie!B$7:AL$26,6,0)</f>
        <v>#N/A</v>
      </c>
      <c r="G19" s="133" t="e">
        <f>VLOOKUP(A19,saisie!B$7:AL$26,7,0)</f>
        <v>#N/A</v>
      </c>
      <c r="H19" s="134" t="e">
        <f>VLOOKUP(A19,saisie!B$7:AL$26,8,0)</f>
        <v>#N/A</v>
      </c>
      <c r="I19" s="135" t="e">
        <f>VLOOKUP(A19,saisie!B$7:AL$26,9,0)</f>
        <v>#N/A</v>
      </c>
      <c r="J19" s="136" t="e">
        <f>VLOOKUP(A19,saisie!B$7:AL$26,10,0)</f>
        <v>#N/A</v>
      </c>
      <c r="K19" s="133" t="e">
        <f>VLOOKUP(A19,saisie!B$7:AL$26,11,0)</f>
        <v>#N/A</v>
      </c>
      <c r="L19" s="133" t="e">
        <f>VLOOKUP(A19,saisie!B$7:AL$26,12,0)</f>
        <v>#N/A</v>
      </c>
      <c r="M19" s="133" t="e">
        <f>VLOOKUP(A19,saisie!B$7:AL$26,13,0)</f>
        <v>#N/A</v>
      </c>
      <c r="N19" s="137" t="e">
        <f>VLOOKUP(A19,saisie!B$7:AL$26,14,0)</f>
        <v>#N/A</v>
      </c>
      <c r="O19" s="138" t="e">
        <f>VLOOKUP(A19,saisie!B$7:AL$26,15,0)</f>
        <v>#N/A</v>
      </c>
      <c r="P19" s="136" t="e">
        <f>VLOOKUP(A19,saisie!B$7:AL$26,16,0)</f>
        <v>#N/A</v>
      </c>
      <c r="Q19" s="133" t="e">
        <f>VLOOKUP(A19,saisie!B$7:AL$26,17,0)</f>
        <v>#N/A</v>
      </c>
      <c r="R19" s="133" t="e">
        <f>VLOOKUP(A19,saisie!B$7:AL$26,18,0)</f>
        <v>#N/A</v>
      </c>
      <c r="S19" s="133" t="e">
        <f>VLOOKUP(A19,saisie!B$7:AL$26,19,0)</f>
        <v>#N/A</v>
      </c>
      <c r="T19" s="137" t="e">
        <f>VLOOKUP(A19,saisie!B$7:AL$26,20,0)</f>
        <v>#N/A</v>
      </c>
      <c r="U19" s="138" t="e">
        <f>VLOOKUP(A19,saisie!B$7:AL$26,21,0)</f>
        <v>#N/A</v>
      </c>
      <c r="V19" s="136" t="e">
        <f>VLOOKUP(A19,saisie!B$7:AL$26,22,0)</f>
        <v>#N/A</v>
      </c>
      <c r="W19" s="133" t="e">
        <f>VLOOKUP(A19,saisie!B$7:AL$26,23,0)</f>
        <v>#N/A</v>
      </c>
      <c r="X19" s="133" t="e">
        <f>VLOOKUP(A19,saisie!B$7:AL$26,24,0)</f>
        <v>#N/A</v>
      </c>
      <c r="Y19" s="133" t="e">
        <f>VLOOKUP(A19,saisie!B$7:AL$26,25,0)</f>
        <v>#N/A</v>
      </c>
      <c r="Z19" s="137" t="e">
        <f>VLOOKUP(A19,saisie!B$7:AL$26,26,0)</f>
        <v>#N/A</v>
      </c>
      <c r="AA19" s="138" t="e">
        <f>VLOOKUP(A19,saisie!B$7:AL$26,27,0)</f>
        <v>#N/A</v>
      </c>
      <c r="AB19" s="136" t="e">
        <f>VLOOKUP(A19,saisie!B$7:AL$26,28,0)</f>
        <v>#N/A</v>
      </c>
      <c r="AC19" s="133" t="e">
        <f>VLOOKUP(A19,saisie!B$7:AL$26,29,0)</f>
        <v>#N/A</v>
      </c>
      <c r="AD19" s="133" t="e">
        <f>VLOOKUP(A19,saisie!B$7:AL$26,30,0)</f>
        <v>#N/A</v>
      </c>
      <c r="AE19" s="133" t="e">
        <f>VLOOKUP(A19,saisie!B$7:AL$26,31,0)</f>
        <v>#N/A</v>
      </c>
      <c r="AF19" s="137" t="e">
        <f>VLOOKUP(A19,saisie!B$7:AL$26,32,0)</f>
        <v>#N/A</v>
      </c>
      <c r="AG19" s="138" t="e">
        <f>VLOOKUP(A19,saisie!B$7:AL$26,33,0)</f>
        <v>#N/A</v>
      </c>
      <c r="AH19" s="139" t="e">
        <f>VLOOKUP(A19,saisie!B$7:AL$26,34,0)</f>
        <v>#N/A</v>
      </c>
      <c r="AI19" s="140" t="e">
        <f>VLOOKUP(A19,saisie!B$7:AL$26,35,0)</f>
        <v>#N/A</v>
      </c>
      <c r="AJ19" s="141"/>
    </row>
    <row r="20" spans="1:36" s="142" customFormat="1" ht="153" customHeight="1">
      <c r="A20" s="128">
        <f>IF(INFO!B8&gt;13,14,"")</f>
      </c>
      <c r="B20" s="129" t="e">
        <f>VLOOKUP(A20,saisie!B$7:AL$26,2,0)</f>
        <v>#N/A</v>
      </c>
      <c r="C20" s="130" t="e">
        <f>VLOOKUP(A20,saisie!B$7:AL$26,3,0)</f>
        <v>#N/A</v>
      </c>
      <c r="D20" s="131" t="e">
        <f>VLOOKUP(A20,saisie!B$7:AL$26,4,0)</f>
        <v>#N/A</v>
      </c>
      <c r="E20" s="132" t="e">
        <f>VLOOKUP(A20,saisie!B$7:AL$26,5,0)</f>
        <v>#N/A</v>
      </c>
      <c r="F20" s="133" t="e">
        <f>VLOOKUP(A20,saisie!B$7:AL$26,6,0)</f>
        <v>#N/A</v>
      </c>
      <c r="G20" s="133" t="e">
        <f>VLOOKUP(A20,saisie!B$7:AL$26,7,0)</f>
        <v>#N/A</v>
      </c>
      <c r="H20" s="134" t="e">
        <f>VLOOKUP(A20,saisie!B$7:AL$26,8,0)</f>
        <v>#N/A</v>
      </c>
      <c r="I20" s="135" t="e">
        <f>VLOOKUP(A20,saisie!B$7:AL$26,9,0)</f>
        <v>#N/A</v>
      </c>
      <c r="J20" s="136" t="e">
        <f>VLOOKUP(A20,saisie!B$7:AL$26,10,0)</f>
        <v>#N/A</v>
      </c>
      <c r="K20" s="133" t="e">
        <f>VLOOKUP(A20,saisie!B$7:AL$26,11,0)</f>
        <v>#N/A</v>
      </c>
      <c r="L20" s="133" t="e">
        <f>VLOOKUP(A20,saisie!B$7:AL$26,12,0)</f>
        <v>#N/A</v>
      </c>
      <c r="M20" s="133" t="e">
        <f>VLOOKUP(A20,saisie!B$7:AL$26,13,0)</f>
        <v>#N/A</v>
      </c>
      <c r="N20" s="137" t="e">
        <f>VLOOKUP(A20,saisie!B$7:AL$26,14,0)</f>
        <v>#N/A</v>
      </c>
      <c r="O20" s="138" t="e">
        <f>VLOOKUP(A20,saisie!B$7:AL$26,15,0)</f>
        <v>#N/A</v>
      </c>
      <c r="P20" s="136" t="e">
        <f>VLOOKUP(A20,saisie!B$7:AL$26,16,0)</f>
        <v>#N/A</v>
      </c>
      <c r="Q20" s="133" t="e">
        <f>VLOOKUP(A20,saisie!B$7:AL$26,17,0)</f>
        <v>#N/A</v>
      </c>
      <c r="R20" s="133" t="e">
        <f>VLOOKUP(A20,saisie!B$7:AL$26,18,0)</f>
        <v>#N/A</v>
      </c>
      <c r="S20" s="133" t="e">
        <f>VLOOKUP(A20,saisie!B$7:AL$26,19,0)</f>
        <v>#N/A</v>
      </c>
      <c r="T20" s="137" t="e">
        <f>VLOOKUP(A20,saisie!B$7:AL$26,20,0)</f>
        <v>#N/A</v>
      </c>
      <c r="U20" s="138" t="e">
        <f>VLOOKUP(A20,saisie!B$7:AL$26,21,0)</f>
        <v>#N/A</v>
      </c>
      <c r="V20" s="136" t="e">
        <f>VLOOKUP(A20,saisie!B$7:AL$26,22,0)</f>
        <v>#N/A</v>
      </c>
      <c r="W20" s="133" t="e">
        <f>VLOOKUP(A20,saisie!B$7:AL$26,23,0)</f>
        <v>#N/A</v>
      </c>
      <c r="X20" s="133" t="e">
        <f>VLOOKUP(A20,saisie!B$7:AL$26,24,0)</f>
        <v>#N/A</v>
      </c>
      <c r="Y20" s="133" t="e">
        <f>VLOOKUP(A20,saisie!B$7:AL$26,25,0)</f>
        <v>#N/A</v>
      </c>
      <c r="Z20" s="137" t="e">
        <f>VLOOKUP(A20,saisie!B$7:AL$26,26,0)</f>
        <v>#N/A</v>
      </c>
      <c r="AA20" s="138" t="e">
        <f>VLOOKUP(A20,saisie!B$7:AL$26,27,0)</f>
        <v>#N/A</v>
      </c>
      <c r="AB20" s="136" t="e">
        <f>VLOOKUP(A20,saisie!B$7:AL$26,28,0)</f>
        <v>#N/A</v>
      </c>
      <c r="AC20" s="133" t="e">
        <f>VLOOKUP(A20,saisie!B$7:AL$26,29,0)</f>
        <v>#N/A</v>
      </c>
      <c r="AD20" s="133" t="e">
        <f>VLOOKUP(A20,saisie!B$7:AL$26,30,0)</f>
        <v>#N/A</v>
      </c>
      <c r="AE20" s="133" t="e">
        <f>VLOOKUP(A20,saisie!B$7:AL$26,31,0)</f>
        <v>#N/A</v>
      </c>
      <c r="AF20" s="137" t="e">
        <f>VLOOKUP(A20,saisie!B$7:AL$26,32,0)</f>
        <v>#N/A</v>
      </c>
      <c r="AG20" s="138" t="e">
        <f>VLOOKUP(A20,saisie!B$7:AL$26,33,0)</f>
        <v>#N/A</v>
      </c>
      <c r="AH20" s="139" t="e">
        <f>VLOOKUP(A20,saisie!B$7:AL$26,34,0)</f>
        <v>#N/A</v>
      </c>
      <c r="AI20" s="140" t="e">
        <f>VLOOKUP(A20,saisie!B$7:AL$26,35,0)</f>
        <v>#N/A</v>
      </c>
      <c r="AJ20" s="141"/>
    </row>
    <row r="21" spans="1:36" s="142" customFormat="1" ht="153" customHeight="1">
      <c r="A21" s="128">
        <f>IF(INFO!B8&gt;14,15,"")</f>
      </c>
      <c r="B21" s="129" t="e">
        <f>VLOOKUP(A21,saisie!B$7:AL$26,2,0)</f>
        <v>#N/A</v>
      </c>
      <c r="C21" s="130" t="e">
        <f>VLOOKUP(A21,saisie!B$7:AL$26,3,0)</f>
        <v>#N/A</v>
      </c>
      <c r="D21" s="131" t="e">
        <f>VLOOKUP(A21,saisie!B$7:AL$26,4,0)</f>
        <v>#N/A</v>
      </c>
      <c r="E21" s="132" t="e">
        <f>VLOOKUP(A21,saisie!B$7:AL$26,5,0)</f>
        <v>#N/A</v>
      </c>
      <c r="F21" s="133" t="e">
        <f>VLOOKUP(A21,saisie!B$7:AL$26,6,0)</f>
        <v>#N/A</v>
      </c>
      <c r="G21" s="133" t="e">
        <f>VLOOKUP(A21,saisie!B$7:AL$26,7,0)</f>
        <v>#N/A</v>
      </c>
      <c r="H21" s="134" t="e">
        <f>VLOOKUP(A21,saisie!B$7:AL$26,8,0)</f>
        <v>#N/A</v>
      </c>
      <c r="I21" s="135" t="e">
        <f>VLOOKUP(A21,saisie!B$7:AL$26,9,0)</f>
        <v>#N/A</v>
      </c>
      <c r="J21" s="136" t="e">
        <f>VLOOKUP(A21,saisie!B$7:AL$26,10,0)</f>
        <v>#N/A</v>
      </c>
      <c r="K21" s="133" t="e">
        <f>VLOOKUP(A21,saisie!B$7:AL$26,11,0)</f>
        <v>#N/A</v>
      </c>
      <c r="L21" s="133" t="e">
        <f>VLOOKUP(A21,saisie!B$7:AL$26,12,0)</f>
        <v>#N/A</v>
      </c>
      <c r="M21" s="133" t="e">
        <f>VLOOKUP(A21,saisie!B$7:AL$26,13,0)</f>
        <v>#N/A</v>
      </c>
      <c r="N21" s="137" t="e">
        <f>VLOOKUP(A21,saisie!B$7:AL$26,14,0)</f>
        <v>#N/A</v>
      </c>
      <c r="O21" s="138" t="e">
        <f>VLOOKUP(A21,saisie!B$7:AL$26,15,0)</f>
        <v>#N/A</v>
      </c>
      <c r="P21" s="136" t="e">
        <f>VLOOKUP(A21,saisie!B$7:AL$26,16,0)</f>
        <v>#N/A</v>
      </c>
      <c r="Q21" s="133" t="e">
        <f>VLOOKUP(A21,saisie!B$7:AL$26,17,0)</f>
        <v>#N/A</v>
      </c>
      <c r="R21" s="133" t="e">
        <f>VLOOKUP(A21,saisie!B$7:AL$26,18,0)</f>
        <v>#N/A</v>
      </c>
      <c r="S21" s="133" t="e">
        <f>VLOOKUP(A21,saisie!B$7:AL$26,19,0)</f>
        <v>#N/A</v>
      </c>
      <c r="T21" s="137" t="e">
        <f>VLOOKUP(A21,saisie!B$7:AL$26,20,0)</f>
        <v>#N/A</v>
      </c>
      <c r="U21" s="138" t="e">
        <f>VLOOKUP(A21,saisie!B$7:AL$26,21,0)</f>
        <v>#N/A</v>
      </c>
      <c r="V21" s="136" t="e">
        <f>VLOOKUP(A21,saisie!B$7:AL$26,22,0)</f>
        <v>#N/A</v>
      </c>
      <c r="W21" s="133" t="e">
        <f>VLOOKUP(A21,saisie!B$7:AL$26,23,0)</f>
        <v>#N/A</v>
      </c>
      <c r="X21" s="133" t="e">
        <f>VLOOKUP(A21,saisie!B$7:AL$26,24,0)</f>
        <v>#N/A</v>
      </c>
      <c r="Y21" s="133" t="e">
        <f>VLOOKUP(A21,saisie!B$7:AL$26,25,0)</f>
        <v>#N/A</v>
      </c>
      <c r="Z21" s="137" t="e">
        <f>VLOOKUP(A21,saisie!B$7:AL$26,26,0)</f>
        <v>#N/A</v>
      </c>
      <c r="AA21" s="138" t="e">
        <f>VLOOKUP(A21,saisie!B$7:AL$26,27,0)</f>
        <v>#N/A</v>
      </c>
      <c r="AB21" s="136" t="e">
        <f>VLOOKUP(A21,saisie!B$7:AL$26,28,0)</f>
        <v>#N/A</v>
      </c>
      <c r="AC21" s="133" t="e">
        <f>VLOOKUP(A21,saisie!B$7:AL$26,29,0)</f>
        <v>#N/A</v>
      </c>
      <c r="AD21" s="133" t="e">
        <f>VLOOKUP(A21,saisie!B$7:AL$26,30,0)</f>
        <v>#N/A</v>
      </c>
      <c r="AE21" s="133" t="e">
        <f>VLOOKUP(A21,saisie!B$7:AL$26,31,0)</f>
        <v>#N/A</v>
      </c>
      <c r="AF21" s="137" t="e">
        <f>VLOOKUP(A21,saisie!B$7:AL$26,32,0)</f>
        <v>#N/A</v>
      </c>
      <c r="AG21" s="138" t="e">
        <f>VLOOKUP(A21,saisie!B$7:AL$26,33,0)</f>
        <v>#N/A</v>
      </c>
      <c r="AH21" s="139" t="e">
        <f>VLOOKUP(A21,saisie!B$7:AL$26,34,0)</f>
        <v>#N/A</v>
      </c>
      <c r="AI21" s="140" t="e">
        <f>VLOOKUP(A21,saisie!B$7:AL$26,35,0)</f>
        <v>#N/A</v>
      </c>
      <c r="AJ21" s="141"/>
    </row>
    <row r="22" spans="1:36" s="142" customFormat="1" ht="153" customHeight="1">
      <c r="A22" s="128">
        <f>IF(INFO!B8&gt;15,16,"")</f>
      </c>
      <c r="B22" s="129" t="e">
        <f>VLOOKUP(A22,saisie!B$7:AL$26,2,0)</f>
        <v>#N/A</v>
      </c>
      <c r="C22" s="130" t="e">
        <f>VLOOKUP(A22,saisie!B$7:AL$26,3,0)</f>
        <v>#N/A</v>
      </c>
      <c r="D22" s="131" t="e">
        <f>VLOOKUP(A22,saisie!B$7:AL$26,4,0)</f>
        <v>#N/A</v>
      </c>
      <c r="E22" s="132" t="e">
        <f>VLOOKUP(A22,saisie!B$7:AL$26,5,0)</f>
        <v>#N/A</v>
      </c>
      <c r="F22" s="133" t="e">
        <f>VLOOKUP(A22,saisie!B$7:AL$26,6,0)</f>
        <v>#N/A</v>
      </c>
      <c r="G22" s="133" t="e">
        <f>VLOOKUP(A22,saisie!B$7:AL$26,7,0)</f>
        <v>#N/A</v>
      </c>
      <c r="H22" s="134" t="e">
        <f>VLOOKUP(A22,saisie!B$7:AL$26,8,0)</f>
        <v>#N/A</v>
      </c>
      <c r="I22" s="135" t="e">
        <f>VLOOKUP(A22,saisie!B$7:AL$26,9,0)</f>
        <v>#N/A</v>
      </c>
      <c r="J22" s="136" t="e">
        <f>VLOOKUP(A22,saisie!B$7:AL$26,10,0)</f>
        <v>#N/A</v>
      </c>
      <c r="K22" s="133" t="e">
        <f>VLOOKUP(A22,saisie!B$7:AL$26,11,0)</f>
        <v>#N/A</v>
      </c>
      <c r="L22" s="133" t="e">
        <f>VLOOKUP(A22,saisie!B$7:AL$26,12,0)</f>
        <v>#N/A</v>
      </c>
      <c r="M22" s="133" t="e">
        <f>VLOOKUP(A22,saisie!B$7:AL$26,13,0)</f>
        <v>#N/A</v>
      </c>
      <c r="N22" s="137" t="e">
        <f>VLOOKUP(A22,saisie!B$7:AL$26,14,0)</f>
        <v>#N/A</v>
      </c>
      <c r="O22" s="138" t="e">
        <f>VLOOKUP(A22,saisie!B$7:AL$26,15,0)</f>
        <v>#N/A</v>
      </c>
      <c r="P22" s="136" t="e">
        <f>VLOOKUP(A22,saisie!B$7:AL$26,16,0)</f>
        <v>#N/A</v>
      </c>
      <c r="Q22" s="133" t="e">
        <f>VLOOKUP(A22,saisie!B$7:AL$26,17,0)</f>
        <v>#N/A</v>
      </c>
      <c r="R22" s="133" t="e">
        <f>VLOOKUP(A22,saisie!B$7:AL$26,18,0)</f>
        <v>#N/A</v>
      </c>
      <c r="S22" s="133" t="e">
        <f>VLOOKUP(A22,saisie!B$7:AL$26,19,0)</f>
        <v>#N/A</v>
      </c>
      <c r="T22" s="137" t="e">
        <f>VLOOKUP(A22,saisie!B$7:AL$26,20,0)</f>
        <v>#N/A</v>
      </c>
      <c r="U22" s="138" t="e">
        <f>VLOOKUP(A22,saisie!B$7:AL$26,21,0)</f>
        <v>#N/A</v>
      </c>
      <c r="V22" s="136" t="e">
        <f>VLOOKUP(A22,saisie!B$7:AL$26,22,0)</f>
        <v>#N/A</v>
      </c>
      <c r="W22" s="133" t="e">
        <f>VLOOKUP(A22,saisie!B$7:AL$26,23,0)</f>
        <v>#N/A</v>
      </c>
      <c r="X22" s="133" t="e">
        <f>VLOOKUP(A22,saisie!B$7:AL$26,24,0)</f>
        <v>#N/A</v>
      </c>
      <c r="Y22" s="133" t="e">
        <f>VLOOKUP(A22,saisie!B$7:AL$26,25,0)</f>
        <v>#N/A</v>
      </c>
      <c r="Z22" s="137" t="e">
        <f>VLOOKUP(A22,saisie!B$7:AL$26,26,0)</f>
        <v>#N/A</v>
      </c>
      <c r="AA22" s="138" t="e">
        <f>VLOOKUP(A22,saisie!B$7:AL$26,27,0)</f>
        <v>#N/A</v>
      </c>
      <c r="AB22" s="136" t="e">
        <f>VLOOKUP(A22,saisie!B$7:AL$26,28,0)</f>
        <v>#N/A</v>
      </c>
      <c r="AC22" s="133" t="e">
        <f>VLOOKUP(A22,saisie!B$7:AL$26,29,0)</f>
        <v>#N/A</v>
      </c>
      <c r="AD22" s="133" t="e">
        <f>VLOOKUP(A22,saisie!B$7:AL$26,30,0)</f>
        <v>#N/A</v>
      </c>
      <c r="AE22" s="133" t="e">
        <f>VLOOKUP(A22,saisie!B$7:AL$26,31,0)</f>
        <v>#N/A</v>
      </c>
      <c r="AF22" s="137" t="e">
        <f>VLOOKUP(A22,saisie!B$7:AL$26,32,0)</f>
        <v>#N/A</v>
      </c>
      <c r="AG22" s="138" t="e">
        <f>VLOOKUP(A22,saisie!B$7:AL$26,33,0)</f>
        <v>#N/A</v>
      </c>
      <c r="AH22" s="139" t="e">
        <f>VLOOKUP(A22,saisie!B$7:AL$26,34,0)</f>
        <v>#N/A</v>
      </c>
      <c r="AI22" s="140" t="e">
        <f>VLOOKUP(A22,saisie!B$7:AL$26,35,0)</f>
        <v>#N/A</v>
      </c>
      <c r="AJ22" s="141"/>
    </row>
    <row r="23" spans="1:36" s="142" customFormat="1" ht="153" customHeight="1">
      <c r="A23" s="128">
        <f>IF(INFO!B8&gt;16,17,"")</f>
      </c>
      <c r="B23" s="129" t="e">
        <f>VLOOKUP(A23,saisie!B$7:AL$26,2,0)</f>
        <v>#N/A</v>
      </c>
      <c r="C23" s="130" t="e">
        <f>VLOOKUP(A23,saisie!B$7:AL$26,3,0)</f>
        <v>#N/A</v>
      </c>
      <c r="D23" s="131" t="e">
        <f>VLOOKUP(A23,saisie!B$7:AL$26,4,0)</f>
        <v>#N/A</v>
      </c>
      <c r="E23" s="132" t="e">
        <f>VLOOKUP(A23,saisie!B$7:AL$26,5,0)</f>
        <v>#N/A</v>
      </c>
      <c r="F23" s="133" t="e">
        <f>VLOOKUP(A23,saisie!B$7:AL$26,6,0)</f>
        <v>#N/A</v>
      </c>
      <c r="G23" s="133" t="e">
        <f>VLOOKUP(A23,saisie!B$7:AL$26,7,0)</f>
        <v>#N/A</v>
      </c>
      <c r="H23" s="134" t="e">
        <f>VLOOKUP(A23,saisie!B$7:AL$26,8,0)</f>
        <v>#N/A</v>
      </c>
      <c r="I23" s="135" t="e">
        <f>VLOOKUP(A23,saisie!B$7:AL$26,9,0)</f>
        <v>#N/A</v>
      </c>
      <c r="J23" s="136" t="e">
        <f>VLOOKUP(A23,saisie!B$7:AL$26,10,0)</f>
        <v>#N/A</v>
      </c>
      <c r="K23" s="133" t="e">
        <f>VLOOKUP(A23,saisie!B$7:AL$26,11,0)</f>
        <v>#N/A</v>
      </c>
      <c r="L23" s="133" t="e">
        <f>VLOOKUP(A23,saisie!B$7:AL$26,12,0)</f>
        <v>#N/A</v>
      </c>
      <c r="M23" s="133" t="e">
        <f>VLOOKUP(A23,saisie!B$7:AL$26,13,0)</f>
        <v>#N/A</v>
      </c>
      <c r="N23" s="137" t="e">
        <f>VLOOKUP(A23,saisie!B$7:AL$26,14,0)</f>
        <v>#N/A</v>
      </c>
      <c r="O23" s="138" t="e">
        <f>VLOOKUP(A23,saisie!B$7:AL$26,15,0)</f>
        <v>#N/A</v>
      </c>
      <c r="P23" s="136" t="e">
        <f>VLOOKUP(A23,saisie!B$7:AL$26,16,0)</f>
        <v>#N/A</v>
      </c>
      <c r="Q23" s="133" t="e">
        <f>VLOOKUP(A23,saisie!B$7:AL$26,17,0)</f>
        <v>#N/A</v>
      </c>
      <c r="R23" s="133" t="e">
        <f>VLOOKUP(A23,saisie!B$7:AL$26,18,0)</f>
        <v>#N/A</v>
      </c>
      <c r="S23" s="133" t="e">
        <f>VLOOKUP(A23,saisie!B$7:AL$26,19,0)</f>
        <v>#N/A</v>
      </c>
      <c r="T23" s="137" t="e">
        <f>VLOOKUP(A23,saisie!B$7:AL$26,20,0)</f>
        <v>#N/A</v>
      </c>
      <c r="U23" s="138" t="e">
        <f>VLOOKUP(A23,saisie!B$7:AL$26,21,0)</f>
        <v>#N/A</v>
      </c>
      <c r="V23" s="136" t="e">
        <f>VLOOKUP(A23,saisie!B$7:AL$26,22,0)</f>
        <v>#N/A</v>
      </c>
      <c r="W23" s="133" t="e">
        <f>VLOOKUP(A23,saisie!B$7:AL$26,23,0)</f>
        <v>#N/A</v>
      </c>
      <c r="X23" s="133" t="e">
        <f>VLOOKUP(A23,saisie!B$7:AL$26,24,0)</f>
        <v>#N/A</v>
      </c>
      <c r="Y23" s="133" t="e">
        <f>VLOOKUP(A23,saisie!B$7:AL$26,25,0)</f>
        <v>#N/A</v>
      </c>
      <c r="Z23" s="137" t="e">
        <f>VLOOKUP(A23,saisie!B$7:AL$26,26,0)</f>
        <v>#N/A</v>
      </c>
      <c r="AA23" s="138" t="e">
        <f>VLOOKUP(A23,saisie!B$7:AL$26,27,0)</f>
        <v>#N/A</v>
      </c>
      <c r="AB23" s="136" t="e">
        <f>VLOOKUP(A23,saisie!B$7:AL$26,28,0)</f>
        <v>#N/A</v>
      </c>
      <c r="AC23" s="133" t="e">
        <f>VLOOKUP(A23,saisie!B$7:AL$26,29,0)</f>
        <v>#N/A</v>
      </c>
      <c r="AD23" s="133" t="e">
        <f>VLOOKUP(A23,saisie!B$7:AL$26,30,0)</f>
        <v>#N/A</v>
      </c>
      <c r="AE23" s="133" t="e">
        <f>VLOOKUP(A23,saisie!B$7:AL$26,31,0)</f>
        <v>#N/A</v>
      </c>
      <c r="AF23" s="137" t="e">
        <f>VLOOKUP(A23,saisie!B$7:AL$26,32,0)</f>
        <v>#N/A</v>
      </c>
      <c r="AG23" s="138" t="e">
        <f>VLOOKUP(A23,saisie!B$7:AL$26,33,0)</f>
        <v>#N/A</v>
      </c>
      <c r="AH23" s="139" t="e">
        <f>VLOOKUP(A23,saisie!B$7:AL$26,34,0)</f>
        <v>#N/A</v>
      </c>
      <c r="AI23" s="140" t="e">
        <f>VLOOKUP(A23,saisie!B$7:AL$26,35,0)</f>
        <v>#N/A</v>
      </c>
      <c r="AJ23" s="141"/>
    </row>
    <row r="24" spans="1:36" s="142" customFormat="1" ht="153" customHeight="1">
      <c r="A24" s="128">
        <f>IF(INFO!B8&gt;17,18,"")</f>
      </c>
      <c r="B24" s="129" t="e">
        <f>VLOOKUP(A24,saisie!B$7:AL$26,2,0)</f>
        <v>#N/A</v>
      </c>
      <c r="C24" s="130" t="e">
        <f>VLOOKUP(A24,saisie!B$7:AL$26,3,0)</f>
        <v>#N/A</v>
      </c>
      <c r="D24" s="131" t="e">
        <f>VLOOKUP(A24,saisie!B$7:AL$26,4,0)</f>
        <v>#N/A</v>
      </c>
      <c r="E24" s="132" t="e">
        <f>VLOOKUP(A24,saisie!B$7:AL$26,5,0)</f>
        <v>#N/A</v>
      </c>
      <c r="F24" s="133" t="e">
        <f>VLOOKUP(A24,saisie!B$7:AL$26,6,0)</f>
        <v>#N/A</v>
      </c>
      <c r="G24" s="133" t="e">
        <f>VLOOKUP(A24,saisie!B$7:AL$26,7,0)</f>
        <v>#N/A</v>
      </c>
      <c r="H24" s="134" t="e">
        <f>VLOOKUP(A24,saisie!B$7:AL$26,8,0)</f>
        <v>#N/A</v>
      </c>
      <c r="I24" s="135" t="e">
        <f>VLOOKUP(A24,saisie!B$7:AL$26,9,0)</f>
        <v>#N/A</v>
      </c>
      <c r="J24" s="136" t="e">
        <f>VLOOKUP(A24,saisie!B$7:AL$26,10,0)</f>
        <v>#N/A</v>
      </c>
      <c r="K24" s="133" t="e">
        <f>VLOOKUP(A24,saisie!B$7:AL$26,11,0)</f>
        <v>#N/A</v>
      </c>
      <c r="L24" s="133" t="e">
        <f>VLOOKUP(A24,saisie!B$7:AL$26,12,0)</f>
        <v>#N/A</v>
      </c>
      <c r="M24" s="133" t="e">
        <f>VLOOKUP(A24,saisie!B$7:AL$26,13,0)</f>
        <v>#N/A</v>
      </c>
      <c r="N24" s="137" t="e">
        <f>VLOOKUP(A24,saisie!B$7:AL$26,14,0)</f>
        <v>#N/A</v>
      </c>
      <c r="O24" s="138" t="e">
        <f>VLOOKUP(A24,saisie!B$7:AL$26,15,0)</f>
        <v>#N/A</v>
      </c>
      <c r="P24" s="136" t="e">
        <f>VLOOKUP(A24,saisie!B$7:AL$26,16,0)</f>
        <v>#N/A</v>
      </c>
      <c r="Q24" s="133" t="e">
        <f>VLOOKUP(A24,saisie!B$7:AL$26,17,0)</f>
        <v>#N/A</v>
      </c>
      <c r="R24" s="133" t="e">
        <f>VLOOKUP(A24,saisie!B$7:AL$26,18,0)</f>
        <v>#N/A</v>
      </c>
      <c r="S24" s="133" t="e">
        <f>VLOOKUP(A24,saisie!B$7:AL$26,19,0)</f>
        <v>#N/A</v>
      </c>
      <c r="T24" s="137" t="e">
        <f>VLOOKUP(A24,saisie!B$7:AL$26,20,0)</f>
        <v>#N/A</v>
      </c>
      <c r="U24" s="138" t="e">
        <f>VLOOKUP(A24,saisie!B$7:AL$26,21,0)</f>
        <v>#N/A</v>
      </c>
      <c r="V24" s="136" t="e">
        <f>VLOOKUP(A24,saisie!B$7:AL$26,22,0)</f>
        <v>#N/A</v>
      </c>
      <c r="W24" s="133" t="e">
        <f>VLOOKUP(A24,saisie!B$7:AL$26,23,0)</f>
        <v>#N/A</v>
      </c>
      <c r="X24" s="133" t="e">
        <f>VLOOKUP(A24,saisie!B$7:AL$26,24,0)</f>
        <v>#N/A</v>
      </c>
      <c r="Y24" s="133" t="e">
        <f>VLOOKUP(A24,saisie!B$7:AL$26,25,0)</f>
        <v>#N/A</v>
      </c>
      <c r="Z24" s="137" t="e">
        <f>VLOOKUP(A24,saisie!B$7:AL$26,26,0)</f>
        <v>#N/A</v>
      </c>
      <c r="AA24" s="138" t="e">
        <f>VLOOKUP(A24,saisie!B$7:AL$26,27,0)</f>
        <v>#N/A</v>
      </c>
      <c r="AB24" s="136" t="e">
        <f>VLOOKUP(A24,saisie!B$7:AL$26,28,0)</f>
        <v>#N/A</v>
      </c>
      <c r="AC24" s="133" t="e">
        <f>VLOOKUP(A24,saisie!B$7:AL$26,29,0)</f>
        <v>#N/A</v>
      </c>
      <c r="AD24" s="133" t="e">
        <f>VLOOKUP(A24,saisie!B$7:AL$26,30,0)</f>
        <v>#N/A</v>
      </c>
      <c r="AE24" s="133" t="e">
        <f>VLOOKUP(A24,saisie!B$7:AL$26,31,0)</f>
        <v>#N/A</v>
      </c>
      <c r="AF24" s="137" t="e">
        <f>VLOOKUP(A24,saisie!B$7:AL$26,32,0)</f>
        <v>#N/A</v>
      </c>
      <c r="AG24" s="138" t="e">
        <f>VLOOKUP(A24,saisie!B$7:AL$26,33,0)</f>
        <v>#N/A</v>
      </c>
      <c r="AH24" s="139" t="e">
        <f>VLOOKUP(A24,saisie!B$7:AL$26,34,0)</f>
        <v>#N/A</v>
      </c>
      <c r="AI24" s="140" t="e">
        <f>VLOOKUP(A24,saisie!B$7:AL$26,35,0)</f>
        <v>#N/A</v>
      </c>
      <c r="AJ24" s="141"/>
    </row>
    <row r="25" spans="1:36" s="142" customFormat="1" ht="153" customHeight="1">
      <c r="A25" s="128">
        <f>IF(INFO!B8&gt;18,19,"")</f>
      </c>
      <c r="B25" s="129" t="e">
        <f>VLOOKUP(A25,saisie!B$7:AL$26,2,0)</f>
        <v>#N/A</v>
      </c>
      <c r="C25" s="130" t="e">
        <f>VLOOKUP(A25,saisie!B$7:AL$26,3,0)</f>
        <v>#N/A</v>
      </c>
      <c r="D25" s="131" t="e">
        <f>VLOOKUP(A25,saisie!B$7:AL$26,4,0)</f>
        <v>#N/A</v>
      </c>
      <c r="E25" s="132" t="e">
        <f>VLOOKUP(A25,saisie!B$7:AL$26,5,0)</f>
        <v>#N/A</v>
      </c>
      <c r="F25" s="133" t="e">
        <f>VLOOKUP(A25,saisie!B$7:AL$26,6,0)</f>
        <v>#N/A</v>
      </c>
      <c r="G25" s="133" t="e">
        <f>VLOOKUP(A25,saisie!B$7:AL$26,7,0)</f>
        <v>#N/A</v>
      </c>
      <c r="H25" s="134" t="e">
        <f>VLOOKUP(A25,saisie!B$7:AL$26,8,0)</f>
        <v>#N/A</v>
      </c>
      <c r="I25" s="135" t="e">
        <f>VLOOKUP(A25,saisie!B$7:AL$26,9,0)</f>
        <v>#N/A</v>
      </c>
      <c r="J25" s="136" t="e">
        <f>VLOOKUP(A25,saisie!B$7:AL$26,10,0)</f>
        <v>#N/A</v>
      </c>
      <c r="K25" s="133" t="e">
        <f>VLOOKUP(A25,saisie!B$7:AL$26,11,0)</f>
        <v>#N/A</v>
      </c>
      <c r="L25" s="133" t="e">
        <f>VLOOKUP(A25,saisie!B$7:AL$26,12,0)</f>
        <v>#N/A</v>
      </c>
      <c r="M25" s="133" t="e">
        <f>VLOOKUP(A25,saisie!B$7:AL$26,13,0)</f>
        <v>#N/A</v>
      </c>
      <c r="N25" s="137" t="e">
        <f>VLOOKUP(A25,saisie!B$7:AL$26,14,0)</f>
        <v>#N/A</v>
      </c>
      <c r="O25" s="138" t="e">
        <f>VLOOKUP(A25,saisie!B$7:AL$26,15,0)</f>
        <v>#N/A</v>
      </c>
      <c r="P25" s="136" t="e">
        <f>VLOOKUP(A25,saisie!B$7:AL$26,16,0)</f>
        <v>#N/A</v>
      </c>
      <c r="Q25" s="133" t="e">
        <f>VLOOKUP(A25,saisie!B$7:AL$26,17,0)</f>
        <v>#N/A</v>
      </c>
      <c r="R25" s="133" t="e">
        <f>VLOOKUP(A25,saisie!B$7:AL$26,18,0)</f>
        <v>#N/A</v>
      </c>
      <c r="S25" s="133" t="e">
        <f>VLOOKUP(A25,saisie!B$7:AL$26,19,0)</f>
        <v>#N/A</v>
      </c>
      <c r="T25" s="137" t="e">
        <f>VLOOKUP(A25,saisie!B$7:AL$26,20,0)</f>
        <v>#N/A</v>
      </c>
      <c r="U25" s="138" t="e">
        <f>VLOOKUP(A25,saisie!B$7:AL$26,21,0)</f>
        <v>#N/A</v>
      </c>
      <c r="V25" s="136" t="e">
        <f>VLOOKUP(A25,saisie!B$7:AL$26,22,0)</f>
        <v>#N/A</v>
      </c>
      <c r="W25" s="133" t="e">
        <f>VLOOKUP(A25,saisie!B$7:AL$26,23,0)</f>
        <v>#N/A</v>
      </c>
      <c r="X25" s="133" t="e">
        <f>VLOOKUP(A25,saisie!B$7:AL$26,24,0)</f>
        <v>#N/A</v>
      </c>
      <c r="Y25" s="133" t="e">
        <f>VLOOKUP(A25,saisie!B$7:AL$26,25,0)</f>
        <v>#N/A</v>
      </c>
      <c r="Z25" s="137" t="e">
        <f>VLOOKUP(A25,saisie!B$7:AL$26,26,0)</f>
        <v>#N/A</v>
      </c>
      <c r="AA25" s="138" t="e">
        <f>VLOOKUP(A25,saisie!B$7:AL$26,27,0)</f>
        <v>#N/A</v>
      </c>
      <c r="AB25" s="136" t="e">
        <f>VLOOKUP(A25,saisie!B$7:AL$26,28,0)</f>
        <v>#N/A</v>
      </c>
      <c r="AC25" s="133" t="e">
        <f>VLOOKUP(A25,saisie!B$7:AL$26,29,0)</f>
        <v>#N/A</v>
      </c>
      <c r="AD25" s="133" t="e">
        <f>VLOOKUP(A25,saisie!B$7:AL$26,30,0)</f>
        <v>#N/A</v>
      </c>
      <c r="AE25" s="133" t="e">
        <f>VLOOKUP(A25,saisie!B$7:AL$26,31,0)</f>
        <v>#N/A</v>
      </c>
      <c r="AF25" s="137" t="e">
        <f>VLOOKUP(A25,saisie!B$7:AL$26,32,0)</f>
        <v>#N/A</v>
      </c>
      <c r="AG25" s="138" t="e">
        <f>VLOOKUP(A25,saisie!B$7:AL$26,33,0)</f>
        <v>#N/A</v>
      </c>
      <c r="AH25" s="139" t="e">
        <f>VLOOKUP(A25,saisie!B$7:AL$26,34,0)</f>
        <v>#N/A</v>
      </c>
      <c r="AI25" s="140" t="e">
        <f>VLOOKUP(A25,saisie!B$7:AL$26,35,0)</f>
        <v>#N/A</v>
      </c>
      <c r="AJ25" s="141"/>
    </row>
    <row r="26" spans="1:36" s="142" customFormat="1" ht="153" customHeight="1">
      <c r="A26" s="128">
        <f>IF(INFO!B8&gt;19,20,"")</f>
      </c>
      <c r="B26" s="129" t="e">
        <f>VLOOKUP(A26,saisie!B$7:AL$26,2,0)</f>
        <v>#N/A</v>
      </c>
      <c r="C26" s="130" t="e">
        <f>VLOOKUP(A26,saisie!B$7:AL$26,3,0)</f>
        <v>#N/A</v>
      </c>
      <c r="D26" s="131" t="e">
        <f>VLOOKUP(A26,saisie!B$7:AL$26,4,0)</f>
        <v>#N/A</v>
      </c>
      <c r="E26" s="132" t="e">
        <f>VLOOKUP(A26,saisie!B$7:AL$26,5,0)</f>
        <v>#N/A</v>
      </c>
      <c r="F26" s="133" t="e">
        <f>VLOOKUP(A26,saisie!B$7:AL$26,6,0)</f>
        <v>#N/A</v>
      </c>
      <c r="G26" s="133" t="e">
        <f>VLOOKUP(A26,saisie!B$7:AL$26,7,0)</f>
        <v>#N/A</v>
      </c>
      <c r="H26" s="134" t="e">
        <f>VLOOKUP(A26,saisie!B$7:AL$26,8,0)</f>
        <v>#N/A</v>
      </c>
      <c r="I26" s="135" t="e">
        <f>VLOOKUP(A26,saisie!B$7:AL$26,9,0)</f>
        <v>#N/A</v>
      </c>
      <c r="J26" s="136" t="e">
        <f>VLOOKUP(A26,saisie!B$7:AL$26,10,0)</f>
        <v>#N/A</v>
      </c>
      <c r="K26" s="133" t="e">
        <f>VLOOKUP(A26,saisie!B$7:AL$26,11,0)</f>
        <v>#N/A</v>
      </c>
      <c r="L26" s="133" t="e">
        <f>VLOOKUP(A26,saisie!B$7:AL$26,12,0)</f>
        <v>#N/A</v>
      </c>
      <c r="M26" s="133" t="e">
        <f>VLOOKUP(A26,saisie!B$7:AL$26,13,0)</f>
        <v>#N/A</v>
      </c>
      <c r="N26" s="137" t="e">
        <f>VLOOKUP(A26,saisie!B$7:AL$26,14,0)</f>
        <v>#N/A</v>
      </c>
      <c r="O26" s="138" t="e">
        <f>VLOOKUP(A26,saisie!B$7:AL$26,15,0)</f>
        <v>#N/A</v>
      </c>
      <c r="P26" s="136" t="e">
        <f>VLOOKUP(A26,saisie!B$7:AL$26,16,0)</f>
        <v>#N/A</v>
      </c>
      <c r="Q26" s="133" t="e">
        <f>VLOOKUP(A26,saisie!B$7:AL$26,17,0)</f>
        <v>#N/A</v>
      </c>
      <c r="R26" s="133" t="e">
        <f>VLOOKUP(A26,saisie!B$7:AL$26,18,0)</f>
        <v>#N/A</v>
      </c>
      <c r="S26" s="133" t="e">
        <f>VLOOKUP(A26,saisie!B$7:AL$26,19,0)</f>
        <v>#N/A</v>
      </c>
      <c r="T26" s="137" t="e">
        <f>VLOOKUP(A26,saisie!B$7:AL$26,20,0)</f>
        <v>#N/A</v>
      </c>
      <c r="U26" s="138" t="e">
        <f>VLOOKUP(A26,saisie!B$7:AL$26,21,0)</f>
        <v>#N/A</v>
      </c>
      <c r="V26" s="136" t="e">
        <f>VLOOKUP(A26,saisie!B$7:AL$26,22,0)</f>
        <v>#N/A</v>
      </c>
      <c r="W26" s="133" t="e">
        <f>VLOOKUP(A26,saisie!B$7:AL$26,23,0)</f>
        <v>#N/A</v>
      </c>
      <c r="X26" s="133" t="e">
        <f>VLOOKUP(A26,saisie!B$7:AL$26,24,0)</f>
        <v>#N/A</v>
      </c>
      <c r="Y26" s="133" t="e">
        <f>VLOOKUP(A26,saisie!B$7:AL$26,25,0)</f>
        <v>#N/A</v>
      </c>
      <c r="Z26" s="137" t="e">
        <f>VLOOKUP(A26,saisie!B$7:AL$26,26,0)</f>
        <v>#N/A</v>
      </c>
      <c r="AA26" s="138" t="e">
        <f>VLOOKUP(A26,saisie!B$7:AL$26,27,0)</f>
        <v>#N/A</v>
      </c>
      <c r="AB26" s="136" t="e">
        <f>VLOOKUP(A26,saisie!B$7:AL$26,28,0)</f>
        <v>#N/A</v>
      </c>
      <c r="AC26" s="133" t="e">
        <f>VLOOKUP(A26,saisie!B$7:AL$26,29,0)</f>
        <v>#N/A</v>
      </c>
      <c r="AD26" s="133" t="e">
        <f>VLOOKUP(A26,saisie!B$7:AL$26,30,0)</f>
        <v>#N/A</v>
      </c>
      <c r="AE26" s="133" t="e">
        <f>VLOOKUP(A26,saisie!B$7:AL$26,31,0)</f>
        <v>#N/A</v>
      </c>
      <c r="AF26" s="137" t="e">
        <f>VLOOKUP(A26,saisie!B$7:AL$26,32,0)</f>
        <v>#N/A</v>
      </c>
      <c r="AG26" s="138" t="e">
        <f>VLOOKUP(A26,saisie!B$7:AL$26,33,0)</f>
        <v>#N/A</v>
      </c>
      <c r="AH26" s="139" t="e">
        <f>VLOOKUP(A26,saisie!B$7:AL$26,34,0)</f>
        <v>#N/A</v>
      </c>
      <c r="AI26" s="140" t="e">
        <f>VLOOKUP(A26,saisie!B$7:AL$26,35,0)</f>
        <v>#N/A</v>
      </c>
      <c r="AJ26" s="141"/>
    </row>
    <row r="27" spans="1:36" s="142" customFormat="1" ht="108.75" customHeight="1">
      <c r="A27" s="143">
        <f>IF(INFO!B8&gt;20,21,"")</f>
      </c>
      <c r="B27" s="129" t="e">
        <f>VLOOKUP(A27,saisie!B$7:AL$26,2,0)</f>
        <v>#N/A</v>
      </c>
      <c r="C27" s="130" t="e">
        <f>VLOOKUP(A27,saisie!B$7:AL$26,3,0)</f>
        <v>#N/A</v>
      </c>
      <c r="D27" s="131" t="e">
        <f>VLOOKUP(A27,saisie!B$7:AL$26,4,0)</f>
        <v>#N/A</v>
      </c>
      <c r="E27" s="132" t="e">
        <f>VLOOKUP(A27,saisie!B$7:AL$26,5,0)</f>
        <v>#N/A</v>
      </c>
      <c r="F27" s="133" t="e">
        <f>VLOOKUP(A27,saisie!B$7:AL$26,6,0)</f>
        <v>#N/A</v>
      </c>
      <c r="G27" s="133" t="e">
        <f>VLOOKUP(A27,saisie!B$7:AL$26,7,0)</f>
        <v>#N/A</v>
      </c>
      <c r="H27" s="134" t="e">
        <f>VLOOKUP(A27,saisie!B$7:AL$26,8,0)</f>
        <v>#N/A</v>
      </c>
      <c r="I27" s="135" t="e">
        <f>VLOOKUP(A27,saisie!B$7:AL$26,9,0)</f>
        <v>#N/A</v>
      </c>
      <c r="J27" s="136" t="e">
        <f>VLOOKUP(A27,saisie!B$7:AL$26,10,0)</f>
        <v>#N/A</v>
      </c>
      <c r="K27" s="133" t="e">
        <f>VLOOKUP(A27,saisie!B$7:AL$26,11,0)</f>
        <v>#N/A</v>
      </c>
      <c r="L27" s="133" t="e">
        <f>VLOOKUP(A27,saisie!B$7:AL$26,12,0)</f>
        <v>#N/A</v>
      </c>
      <c r="M27" s="133" t="e">
        <f>VLOOKUP(A27,saisie!B$7:AL$26,13,0)</f>
        <v>#N/A</v>
      </c>
      <c r="N27" s="137" t="e">
        <f>VLOOKUP(A27,saisie!B$7:AL$26,14,0)</f>
        <v>#N/A</v>
      </c>
      <c r="O27" s="138" t="e">
        <f>VLOOKUP(A27,saisie!B$7:AL$26,15,0)</f>
        <v>#N/A</v>
      </c>
      <c r="P27" s="136" t="e">
        <f>VLOOKUP(A27,saisie!B$7:AL$26,16,0)</f>
        <v>#N/A</v>
      </c>
      <c r="Q27" s="133" t="e">
        <f>VLOOKUP(A27,saisie!B$7:AL$26,17,0)</f>
        <v>#N/A</v>
      </c>
      <c r="R27" s="133" t="e">
        <f>VLOOKUP(A27,saisie!B$7:AL$26,18,0)</f>
        <v>#N/A</v>
      </c>
      <c r="S27" s="133" t="e">
        <f>VLOOKUP(A27,saisie!B$7:AL$26,19,0)</f>
        <v>#N/A</v>
      </c>
      <c r="T27" s="137" t="e">
        <f>VLOOKUP(A27,saisie!B$7:AL$26,20,0)</f>
        <v>#N/A</v>
      </c>
      <c r="U27" s="138" t="e">
        <f>VLOOKUP(A27,saisie!B$7:AL$26,21,0)</f>
        <v>#N/A</v>
      </c>
      <c r="V27" s="136" t="e">
        <f>VLOOKUP(A27,saisie!B$7:AL$26,22,0)</f>
        <v>#N/A</v>
      </c>
      <c r="W27" s="133" t="e">
        <f>VLOOKUP(A27,saisie!B$7:AL$26,23,0)</f>
        <v>#N/A</v>
      </c>
      <c r="X27" s="133" t="e">
        <f>VLOOKUP(A27,saisie!B$7:AL$26,24,0)</f>
        <v>#N/A</v>
      </c>
      <c r="Y27" s="133" t="e">
        <f>VLOOKUP(A27,saisie!B$7:AL$26,25,0)</f>
        <v>#N/A</v>
      </c>
      <c r="Z27" s="137" t="e">
        <f>VLOOKUP(A27,saisie!B$7:AL$26,26,0)</f>
        <v>#N/A</v>
      </c>
      <c r="AA27" s="138" t="e">
        <f>VLOOKUP(A27,saisie!B$7:AL$26,27,0)</f>
        <v>#N/A</v>
      </c>
      <c r="AB27" s="136" t="e">
        <f>VLOOKUP(A27,saisie!B$7:AL$26,28,0)</f>
        <v>#N/A</v>
      </c>
      <c r="AC27" s="133" t="e">
        <f>VLOOKUP(A27,saisie!B$7:AL$26,29,0)</f>
        <v>#N/A</v>
      </c>
      <c r="AD27" s="133" t="e">
        <f>VLOOKUP(A27,saisie!B$7:AL$26,30,0)</f>
        <v>#N/A</v>
      </c>
      <c r="AE27" s="133" t="e">
        <f>VLOOKUP(A27,saisie!B$7:AL$26,31,0)</f>
        <v>#N/A</v>
      </c>
      <c r="AF27" s="137" t="e">
        <f>VLOOKUP(A27,saisie!B$7:AL$26,32,0)</f>
        <v>#N/A</v>
      </c>
      <c r="AG27" s="138" t="e">
        <f>VLOOKUP(A27,saisie!B$7:AL$26,33,0)</f>
        <v>#N/A</v>
      </c>
      <c r="AH27" s="144" t="e">
        <f>VLOOKUP(A27,saisie!B$7:AL$26,34,0)</f>
        <v>#N/A</v>
      </c>
      <c r="AI27" s="140" t="e">
        <f>VLOOKUP(A27,saisie!B$7:AL$26,35,0)</f>
        <v>#N/A</v>
      </c>
      <c r="AJ27" s="141"/>
    </row>
    <row r="28" spans="1:36" s="142" customFormat="1" ht="108.75" customHeight="1">
      <c r="A28" s="143">
        <f>IF(INFO!B8&gt;21,22,"")</f>
      </c>
      <c r="B28" s="129" t="e">
        <f>VLOOKUP(A28,saisie!B$7:AL$26,2,0)</f>
        <v>#N/A</v>
      </c>
      <c r="C28" s="130" t="e">
        <f>VLOOKUP(A28,saisie!B$7:AL$26,3,0)</f>
        <v>#N/A</v>
      </c>
      <c r="D28" s="131" t="e">
        <f>VLOOKUP(A28,saisie!B$7:AL$26,4,0)</f>
        <v>#N/A</v>
      </c>
      <c r="E28" s="132" t="e">
        <f>VLOOKUP(A28,saisie!B$7:AL$26,5,0)</f>
        <v>#N/A</v>
      </c>
      <c r="F28" s="133" t="e">
        <f>VLOOKUP(A28,saisie!B$7:AL$26,6,0)</f>
        <v>#N/A</v>
      </c>
      <c r="G28" s="133" t="e">
        <f>VLOOKUP(A28,saisie!B$7:AL$26,7,0)</f>
        <v>#N/A</v>
      </c>
      <c r="H28" s="134" t="e">
        <f>VLOOKUP(A28,saisie!B$7:AL$26,8,0)</f>
        <v>#N/A</v>
      </c>
      <c r="I28" s="135" t="e">
        <f>VLOOKUP(A28,saisie!B$7:AL$26,9,0)</f>
        <v>#N/A</v>
      </c>
      <c r="J28" s="136" t="e">
        <f>VLOOKUP(A28,saisie!B$7:AL$26,10,0)</f>
        <v>#N/A</v>
      </c>
      <c r="K28" s="133" t="e">
        <f>VLOOKUP(A28,saisie!B$7:AL$26,11,0)</f>
        <v>#N/A</v>
      </c>
      <c r="L28" s="133" t="e">
        <f>VLOOKUP(A28,saisie!B$7:AL$26,12,0)</f>
        <v>#N/A</v>
      </c>
      <c r="M28" s="133" t="e">
        <f>VLOOKUP(A28,saisie!B$7:AL$26,13,0)</f>
        <v>#N/A</v>
      </c>
      <c r="N28" s="137" t="e">
        <f>VLOOKUP(A28,saisie!B$7:AL$26,14,0)</f>
        <v>#N/A</v>
      </c>
      <c r="O28" s="138" t="e">
        <f>VLOOKUP(A28,saisie!B$7:AL$26,15,0)</f>
        <v>#N/A</v>
      </c>
      <c r="P28" s="136" t="e">
        <f>VLOOKUP(A28,saisie!B$7:AL$26,16,0)</f>
        <v>#N/A</v>
      </c>
      <c r="Q28" s="133" t="e">
        <f>VLOOKUP(A28,saisie!B$7:AL$26,17,0)</f>
        <v>#N/A</v>
      </c>
      <c r="R28" s="133" t="e">
        <f>VLOOKUP(A28,saisie!B$7:AL$26,18,0)</f>
        <v>#N/A</v>
      </c>
      <c r="S28" s="133" t="e">
        <f>VLOOKUP(A28,saisie!B$7:AL$26,19,0)</f>
        <v>#N/A</v>
      </c>
      <c r="T28" s="137" t="e">
        <f>VLOOKUP(A28,saisie!B$7:AL$26,20,0)</f>
        <v>#N/A</v>
      </c>
      <c r="U28" s="138" t="e">
        <f>VLOOKUP(A28,saisie!B$7:AL$26,21,0)</f>
        <v>#N/A</v>
      </c>
      <c r="V28" s="136" t="e">
        <f>VLOOKUP(A28,saisie!B$7:AL$26,22,0)</f>
        <v>#N/A</v>
      </c>
      <c r="W28" s="133" t="e">
        <f>VLOOKUP(A28,saisie!B$7:AL$26,23,0)</f>
        <v>#N/A</v>
      </c>
      <c r="X28" s="133" t="e">
        <f>VLOOKUP(A28,saisie!B$7:AL$26,24,0)</f>
        <v>#N/A</v>
      </c>
      <c r="Y28" s="133" t="e">
        <f>VLOOKUP(A28,saisie!B$7:AL$26,25,0)</f>
        <v>#N/A</v>
      </c>
      <c r="Z28" s="137" t="e">
        <f>VLOOKUP(A28,saisie!B$7:AL$26,26,0)</f>
        <v>#N/A</v>
      </c>
      <c r="AA28" s="138" t="e">
        <f>VLOOKUP(A28,saisie!B$7:AL$26,27,0)</f>
        <v>#N/A</v>
      </c>
      <c r="AB28" s="136" t="e">
        <f>VLOOKUP(A28,saisie!B$7:AL$26,28,0)</f>
        <v>#N/A</v>
      </c>
      <c r="AC28" s="133" t="e">
        <f>VLOOKUP(A28,saisie!B$7:AL$26,29,0)</f>
        <v>#N/A</v>
      </c>
      <c r="AD28" s="133" t="e">
        <f>VLOOKUP(A28,saisie!B$7:AL$26,30,0)</f>
        <v>#N/A</v>
      </c>
      <c r="AE28" s="133" t="e">
        <f>VLOOKUP(A28,saisie!B$7:AL$26,31,0)</f>
        <v>#N/A</v>
      </c>
      <c r="AF28" s="137" t="e">
        <f>VLOOKUP(A28,saisie!B$7:AL$26,32,0)</f>
        <v>#N/A</v>
      </c>
      <c r="AG28" s="138" t="e">
        <f>VLOOKUP(A28,saisie!B$7:AL$26,33,0)</f>
        <v>#N/A</v>
      </c>
      <c r="AH28" s="144" t="e">
        <f>VLOOKUP(A28,saisie!B$7:AL$26,34,0)</f>
        <v>#N/A</v>
      </c>
      <c r="AI28" s="140" t="e">
        <f>VLOOKUP(A28,saisie!B$7:AL$26,35,0)</f>
        <v>#N/A</v>
      </c>
      <c r="AJ28" s="141"/>
    </row>
    <row r="29" spans="1:36" s="142" customFormat="1" ht="108.75" customHeight="1">
      <c r="A29" s="143">
        <f>IF(INFO!B8&gt;22,23,"")</f>
      </c>
      <c r="B29" s="129" t="e">
        <f>VLOOKUP(A29,saisie!B$7:AL$26,2,0)</f>
        <v>#N/A</v>
      </c>
      <c r="C29" s="130" t="e">
        <f>VLOOKUP(A29,saisie!B$7:AL$26,3,0)</f>
        <v>#N/A</v>
      </c>
      <c r="D29" s="131" t="e">
        <f>VLOOKUP(A29,saisie!B$7:AL$26,4,0)</f>
        <v>#N/A</v>
      </c>
      <c r="E29" s="132" t="e">
        <f>VLOOKUP(A29,saisie!B$7:AL$26,5,0)</f>
        <v>#N/A</v>
      </c>
      <c r="F29" s="133" t="e">
        <f>VLOOKUP(A29,saisie!B$7:AL$26,6,0)</f>
        <v>#N/A</v>
      </c>
      <c r="G29" s="133" t="e">
        <f>VLOOKUP(A29,saisie!B$7:AL$26,7,0)</f>
        <v>#N/A</v>
      </c>
      <c r="H29" s="134" t="e">
        <f>VLOOKUP(A29,saisie!B$7:AL$26,8,0)</f>
        <v>#N/A</v>
      </c>
      <c r="I29" s="135" t="e">
        <f>VLOOKUP(A29,saisie!B$7:AL$26,9,0)</f>
        <v>#N/A</v>
      </c>
      <c r="J29" s="136" t="e">
        <f>VLOOKUP(A29,saisie!B$7:AL$26,10,0)</f>
        <v>#N/A</v>
      </c>
      <c r="K29" s="133" t="e">
        <f>VLOOKUP(A29,saisie!B$7:AL$26,11,0)</f>
        <v>#N/A</v>
      </c>
      <c r="L29" s="133" t="e">
        <f>VLOOKUP(A29,saisie!B$7:AL$26,12,0)</f>
        <v>#N/A</v>
      </c>
      <c r="M29" s="133" t="e">
        <f>VLOOKUP(A29,saisie!B$7:AL$26,13,0)</f>
        <v>#N/A</v>
      </c>
      <c r="N29" s="137" t="e">
        <f>VLOOKUP(A29,saisie!B$7:AL$26,14,0)</f>
        <v>#N/A</v>
      </c>
      <c r="O29" s="138" t="e">
        <f>VLOOKUP(A29,saisie!B$7:AL$26,15,0)</f>
        <v>#N/A</v>
      </c>
      <c r="P29" s="136" t="e">
        <f>VLOOKUP(A29,saisie!B$7:AL$26,16,0)</f>
        <v>#N/A</v>
      </c>
      <c r="Q29" s="133" t="e">
        <f>VLOOKUP(A29,saisie!B$7:AL$26,17,0)</f>
        <v>#N/A</v>
      </c>
      <c r="R29" s="133" t="e">
        <f>VLOOKUP(A29,saisie!B$7:AL$26,18,0)</f>
        <v>#N/A</v>
      </c>
      <c r="S29" s="133" t="e">
        <f>VLOOKUP(A29,saisie!B$7:AL$26,19,0)</f>
        <v>#N/A</v>
      </c>
      <c r="T29" s="137" t="e">
        <f>VLOOKUP(A29,saisie!B$7:AL$26,20,0)</f>
        <v>#N/A</v>
      </c>
      <c r="U29" s="138" t="e">
        <f>VLOOKUP(A29,saisie!B$7:AL$26,21,0)</f>
        <v>#N/A</v>
      </c>
      <c r="V29" s="136" t="e">
        <f>VLOOKUP(A29,saisie!B$7:AL$26,22,0)</f>
        <v>#N/A</v>
      </c>
      <c r="W29" s="133" t="e">
        <f>VLOOKUP(A29,saisie!B$7:AL$26,23,0)</f>
        <v>#N/A</v>
      </c>
      <c r="X29" s="133" t="e">
        <f>VLOOKUP(A29,saisie!B$7:AL$26,24,0)</f>
        <v>#N/A</v>
      </c>
      <c r="Y29" s="133" t="e">
        <f>VLOOKUP(A29,saisie!B$7:AL$26,25,0)</f>
        <v>#N/A</v>
      </c>
      <c r="Z29" s="137" t="e">
        <f>VLOOKUP(A29,saisie!B$7:AL$26,26,0)</f>
        <v>#N/A</v>
      </c>
      <c r="AA29" s="138" t="e">
        <f>VLOOKUP(A29,saisie!B$7:AL$26,27,0)</f>
        <v>#N/A</v>
      </c>
      <c r="AB29" s="136" t="e">
        <f>VLOOKUP(A29,saisie!B$7:AL$26,28,0)</f>
        <v>#N/A</v>
      </c>
      <c r="AC29" s="133" t="e">
        <f>VLOOKUP(A29,saisie!B$7:AL$26,29,0)</f>
        <v>#N/A</v>
      </c>
      <c r="AD29" s="133" t="e">
        <f>VLOOKUP(A29,saisie!B$7:AL$26,30,0)</f>
        <v>#N/A</v>
      </c>
      <c r="AE29" s="133" t="e">
        <f>VLOOKUP(A29,saisie!B$7:AL$26,31,0)</f>
        <v>#N/A</v>
      </c>
      <c r="AF29" s="137" t="e">
        <f>VLOOKUP(A29,saisie!B$7:AL$26,32,0)</f>
        <v>#N/A</v>
      </c>
      <c r="AG29" s="138" t="e">
        <f>VLOOKUP(A29,saisie!B$7:AL$26,33,0)</f>
        <v>#N/A</v>
      </c>
      <c r="AH29" s="144" t="e">
        <f>VLOOKUP(A29,saisie!B$7:AL$26,34,0)</f>
        <v>#N/A</v>
      </c>
      <c r="AI29" s="140" t="e">
        <f>VLOOKUP(A29,saisie!B$7:AL$26,35,0)</f>
        <v>#N/A</v>
      </c>
      <c r="AJ29" s="141"/>
    </row>
    <row r="30" spans="1:36" s="142" customFormat="1" ht="108.75" customHeight="1">
      <c r="A30" s="143">
        <f>IF(INFO!B8&gt;23,24,"")</f>
      </c>
      <c r="B30" s="129" t="e">
        <f>VLOOKUP(A30,saisie!B$7:AL$26,2,0)</f>
        <v>#N/A</v>
      </c>
      <c r="C30" s="130" t="e">
        <f>VLOOKUP(A30,saisie!B$7:AL$26,3,0)</f>
        <v>#N/A</v>
      </c>
      <c r="D30" s="131" t="e">
        <f>VLOOKUP(A30,saisie!B$7:AL$26,4,0)</f>
        <v>#N/A</v>
      </c>
      <c r="E30" s="132" t="e">
        <f>VLOOKUP(A30,saisie!B$7:AL$26,5,0)</f>
        <v>#N/A</v>
      </c>
      <c r="F30" s="133" t="e">
        <f>VLOOKUP(A30,saisie!B$7:AL$26,6,0)</f>
        <v>#N/A</v>
      </c>
      <c r="G30" s="133" t="e">
        <f>VLOOKUP(A30,saisie!B$7:AL$26,7,0)</f>
        <v>#N/A</v>
      </c>
      <c r="H30" s="134" t="e">
        <f>VLOOKUP(A30,saisie!B$7:AL$26,8,0)</f>
        <v>#N/A</v>
      </c>
      <c r="I30" s="135" t="e">
        <f>VLOOKUP(A30,saisie!B$7:AL$26,9,0)</f>
        <v>#N/A</v>
      </c>
      <c r="J30" s="136" t="e">
        <f>VLOOKUP(A30,saisie!B$7:AL$26,10,0)</f>
        <v>#N/A</v>
      </c>
      <c r="K30" s="133" t="e">
        <f>VLOOKUP(A30,saisie!B$7:AL$26,11,0)</f>
        <v>#N/A</v>
      </c>
      <c r="L30" s="133" t="e">
        <f>VLOOKUP(A30,saisie!B$7:AL$26,12,0)</f>
        <v>#N/A</v>
      </c>
      <c r="M30" s="133" t="e">
        <f>VLOOKUP(A30,saisie!B$7:AL$26,13,0)</f>
        <v>#N/A</v>
      </c>
      <c r="N30" s="137" t="e">
        <f>VLOOKUP(A30,saisie!B$7:AL$26,14,0)</f>
        <v>#N/A</v>
      </c>
      <c r="O30" s="138" t="e">
        <f>VLOOKUP(A30,saisie!B$7:AL$26,15,0)</f>
        <v>#N/A</v>
      </c>
      <c r="P30" s="136" t="e">
        <f>VLOOKUP(A30,saisie!B$7:AL$26,16,0)</f>
        <v>#N/A</v>
      </c>
      <c r="Q30" s="133" t="e">
        <f>VLOOKUP(A30,saisie!B$7:AL$26,17,0)</f>
        <v>#N/A</v>
      </c>
      <c r="R30" s="133" t="e">
        <f>VLOOKUP(A30,saisie!B$7:AL$26,18,0)</f>
        <v>#N/A</v>
      </c>
      <c r="S30" s="133" t="e">
        <f>VLOOKUP(A30,saisie!B$7:AL$26,19,0)</f>
        <v>#N/A</v>
      </c>
      <c r="T30" s="137" t="e">
        <f>VLOOKUP(A30,saisie!B$7:AL$26,20,0)</f>
        <v>#N/A</v>
      </c>
      <c r="U30" s="138" t="e">
        <f>VLOOKUP(A30,saisie!B$7:AL$26,21,0)</f>
        <v>#N/A</v>
      </c>
      <c r="V30" s="136" t="e">
        <f>VLOOKUP(A30,saisie!B$7:AL$26,22,0)</f>
        <v>#N/A</v>
      </c>
      <c r="W30" s="133" t="e">
        <f>VLOOKUP(A30,saisie!B$7:AL$26,23,0)</f>
        <v>#N/A</v>
      </c>
      <c r="X30" s="133" t="e">
        <f>VLOOKUP(A30,saisie!B$7:AL$26,24,0)</f>
        <v>#N/A</v>
      </c>
      <c r="Y30" s="133" t="e">
        <f>VLOOKUP(A30,saisie!B$7:AL$26,25,0)</f>
        <v>#N/A</v>
      </c>
      <c r="Z30" s="137" t="e">
        <f>VLOOKUP(A30,saisie!B$7:AL$26,26,0)</f>
        <v>#N/A</v>
      </c>
      <c r="AA30" s="138" t="e">
        <f>VLOOKUP(A30,saisie!B$7:AL$26,27,0)</f>
        <v>#N/A</v>
      </c>
      <c r="AB30" s="136" t="e">
        <f>VLOOKUP(A30,saisie!B$7:AL$26,28,0)</f>
        <v>#N/A</v>
      </c>
      <c r="AC30" s="133" t="e">
        <f>VLOOKUP(A30,saisie!B$7:AL$26,29,0)</f>
        <v>#N/A</v>
      </c>
      <c r="AD30" s="133" t="e">
        <f>VLOOKUP(A30,saisie!B$7:AL$26,30,0)</f>
        <v>#N/A</v>
      </c>
      <c r="AE30" s="133" t="e">
        <f>VLOOKUP(A30,saisie!B$7:AL$26,31,0)</f>
        <v>#N/A</v>
      </c>
      <c r="AF30" s="137" t="e">
        <f>VLOOKUP(A30,saisie!B$7:AL$26,32,0)</f>
        <v>#N/A</v>
      </c>
      <c r="AG30" s="138" t="e">
        <f>VLOOKUP(A30,saisie!B$7:AL$26,33,0)</f>
        <v>#N/A</v>
      </c>
      <c r="AH30" s="144" t="e">
        <f>VLOOKUP(A30,saisie!B$7:AL$26,34,0)</f>
        <v>#N/A</v>
      </c>
      <c r="AI30" s="140" t="e">
        <f>VLOOKUP(A30,saisie!B$7:AL$26,35,0)</f>
        <v>#N/A</v>
      </c>
      <c r="AJ30" s="141"/>
    </row>
    <row r="31" spans="1:36" s="142" customFormat="1" ht="108.75" customHeight="1">
      <c r="A31" s="143">
        <f>IF(INFO!B8&gt;24,25,"")</f>
      </c>
      <c r="B31" s="129" t="e">
        <f>VLOOKUP(A31,saisie!B$7:AL$26,2,0)</f>
        <v>#N/A</v>
      </c>
      <c r="C31" s="130" t="e">
        <f>VLOOKUP(A31,saisie!B$7:AL$26,3,0)</f>
        <v>#N/A</v>
      </c>
      <c r="D31" s="131" t="e">
        <f>VLOOKUP(A31,saisie!B$7:AL$26,4,0)</f>
        <v>#N/A</v>
      </c>
      <c r="E31" s="132" t="e">
        <f>VLOOKUP(A31,saisie!B$7:AL$26,5,0)</f>
        <v>#N/A</v>
      </c>
      <c r="F31" s="133" t="e">
        <f>VLOOKUP(A31,saisie!B$7:AL$26,6,0)</f>
        <v>#N/A</v>
      </c>
      <c r="G31" s="133" t="e">
        <f>VLOOKUP(A31,saisie!B$7:AL$26,7,0)</f>
        <v>#N/A</v>
      </c>
      <c r="H31" s="134" t="e">
        <f>VLOOKUP(A31,saisie!B$7:AL$26,8,0)</f>
        <v>#N/A</v>
      </c>
      <c r="I31" s="135" t="e">
        <f>VLOOKUP(A31,saisie!B$7:AL$26,9,0)</f>
        <v>#N/A</v>
      </c>
      <c r="J31" s="136" t="e">
        <f>VLOOKUP(A31,saisie!B$7:AL$26,10,0)</f>
        <v>#N/A</v>
      </c>
      <c r="K31" s="133" t="e">
        <f>VLOOKUP(A31,saisie!B$7:AL$26,11,0)</f>
        <v>#N/A</v>
      </c>
      <c r="L31" s="133" t="e">
        <f>VLOOKUP(A31,saisie!B$7:AL$26,12,0)</f>
        <v>#N/A</v>
      </c>
      <c r="M31" s="133" t="e">
        <f>VLOOKUP(A31,saisie!B$7:AL$26,13,0)</f>
        <v>#N/A</v>
      </c>
      <c r="N31" s="137" t="e">
        <f>VLOOKUP(A31,saisie!B$7:AL$26,14,0)</f>
        <v>#N/A</v>
      </c>
      <c r="O31" s="138" t="e">
        <f>VLOOKUP(A31,saisie!B$7:AL$26,15,0)</f>
        <v>#N/A</v>
      </c>
      <c r="P31" s="136" t="e">
        <f>VLOOKUP(A31,saisie!B$7:AL$26,16,0)</f>
        <v>#N/A</v>
      </c>
      <c r="Q31" s="133" t="e">
        <f>VLOOKUP(A31,saisie!B$7:AL$26,17,0)</f>
        <v>#N/A</v>
      </c>
      <c r="R31" s="133" t="e">
        <f>VLOOKUP(A31,saisie!B$7:AL$26,18,0)</f>
        <v>#N/A</v>
      </c>
      <c r="S31" s="133" t="e">
        <f>VLOOKUP(A31,saisie!B$7:AL$26,19,0)</f>
        <v>#N/A</v>
      </c>
      <c r="T31" s="137" t="e">
        <f>VLOOKUP(A31,saisie!B$7:AL$26,20,0)</f>
        <v>#N/A</v>
      </c>
      <c r="U31" s="138" t="e">
        <f>VLOOKUP(A31,saisie!B$7:AL$26,21,0)</f>
        <v>#N/A</v>
      </c>
      <c r="V31" s="136" t="e">
        <f>VLOOKUP(A31,saisie!B$7:AL$26,22,0)</f>
        <v>#N/A</v>
      </c>
      <c r="W31" s="133" t="e">
        <f>VLOOKUP(A31,saisie!B$7:AL$26,23,0)</f>
        <v>#N/A</v>
      </c>
      <c r="X31" s="133" t="e">
        <f>VLOOKUP(A31,saisie!B$7:AL$26,24,0)</f>
        <v>#N/A</v>
      </c>
      <c r="Y31" s="133" t="e">
        <f>VLOOKUP(A31,saisie!B$7:AL$26,25,0)</f>
        <v>#N/A</v>
      </c>
      <c r="Z31" s="137" t="e">
        <f>VLOOKUP(A31,saisie!B$7:AL$26,26,0)</f>
        <v>#N/A</v>
      </c>
      <c r="AA31" s="138" t="e">
        <f>VLOOKUP(A31,saisie!B$7:AL$26,27,0)</f>
        <v>#N/A</v>
      </c>
      <c r="AB31" s="136" t="e">
        <f>VLOOKUP(A31,saisie!B$7:AL$26,28,0)</f>
        <v>#N/A</v>
      </c>
      <c r="AC31" s="133" t="e">
        <f>VLOOKUP(A31,saisie!B$7:AL$26,29,0)</f>
        <v>#N/A</v>
      </c>
      <c r="AD31" s="133" t="e">
        <f>VLOOKUP(A31,saisie!B$7:AL$26,30,0)</f>
        <v>#N/A</v>
      </c>
      <c r="AE31" s="133" t="e">
        <f>VLOOKUP(A31,saisie!B$7:AL$26,31,0)</f>
        <v>#N/A</v>
      </c>
      <c r="AF31" s="137" t="e">
        <f>VLOOKUP(A31,saisie!B$7:AL$26,32,0)</f>
        <v>#N/A</v>
      </c>
      <c r="AG31" s="138" t="e">
        <f>VLOOKUP(A31,saisie!B$7:AL$26,33,0)</f>
        <v>#N/A</v>
      </c>
      <c r="AH31" s="144" t="e">
        <f>VLOOKUP(A31,saisie!B$7:AL$26,34,0)</f>
        <v>#N/A</v>
      </c>
      <c r="AI31" s="140" t="e">
        <f>VLOOKUP(A31,saisie!B$7:AL$26,35,0)</f>
        <v>#N/A</v>
      </c>
      <c r="AJ31" s="141"/>
    </row>
    <row r="32" spans="1:36" s="142" customFormat="1" ht="108.75" customHeight="1">
      <c r="A32" s="143">
        <f>IF(INFO!B8&gt;25,26,"")</f>
      </c>
      <c r="B32" s="129" t="e">
        <f>VLOOKUP(A32,saisie!B$7:AL$26,2,0)</f>
        <v>#N/A</v>
      </c>
      <c r="C32" s="130" t="e">
        <f>VLOOKUP(A32,saisie!B$7:AL$26,3,0)</f>
        <v>#N/A</v>
      </c>
      <c r="D32" s="131" t="e">
        <f>VLOOKUP(A32,saisie!B$7:AL$26,4,0)</f>
        <v>#N/A</v>
      </c>
      <c r="E32" s="132" t="e">
        <f>VLOOKUP(A32,saisie!B$7:AL$26,5,0)</f>
        <v>#N/A</v>
      </c>
      <c r="F32" s="133" t="e">
        <f>VLOOKUP(A32,saisie!B$7:AL$26,6,0)</f>
        <v>#N/A</v>
      </c>
      <c r="G32" s="133" t="e">
        <f>VLOOKUP(A32,saisie!B$7:AL$26,7,0)</f>
        <v>#N/A</v>
      </c>
      <c r="H32" s="134" t="e">
        <f>VLOOKUP(A32,saisie!B$7:AL$26,8,0)</f>
        <v>#N/A</v>
      </c>
      <c r="I32" s="135" t="e">
        <f>VLOOKUP(A32,saisie!B$7:AL$26,9,0)</f>
        <v>#N/A</v>
      </c>
      <c r="J32" s="136" t="e">
        <f>VLOOKUP(A32,saisie!B$7:AL$26,10,0)</f>
        <v>#N/A</v>
      </c>
      <c r="K32" s="133" t="e">
        <f>VLOOKUP(A32,saisie!B$7:AL$26,11,0)</f>
        <v>#N/A</v>
      </c>
      <c r="L32" s="133" t="e">
        <f>VLOOKUP(A32,saisie!B$7:AL$26,12,0)</f>
        <v>#N/A</v>
      </c>
      <c r="M32" s="133" t="e">
        <f>VLOOKUP(A32,saisie!B$7:AL$26,13,0)</f>
        <v>#N/A</v>
      </c>
      <c r="N32" s="137" t="e">
        <f>VLOOKUP(A32,saisie!B$7:AL$26,14,0)</f>
        <v>#N/A</v>
      </c>
      <c r="O32" s="138" t="e">
        <f>VLOOKUP(A32,saisie!B$7:AL$26,15,0)</f>
        <v>#N/A</v>
      </c>
      <c r="P32" s="136" t="e">
        <f>VLOOKUP(A32,saisie!B$7:AL$26,16,0)</f>
        <v>#N/A</v>
      </c>
      <c r="Q32" s="133" t="e">
        <f>VLOOKUP(A32,saisie!B$7:AL$26,17,0)</f>
        <v>#N/A</v>
      </c>
      <c r="R32" s="133" t="e">
        <f>VLOOKUP(A32,saisie!B$7:AL$26,18,0)</f>
        <v>#N/A</v>
      </c>
      <c r="S32" s="133" t="e">
        <f>VLOOKUP(A32,saisie!B$7:AL$26,19,0)</f>
        <v>#N/A</v>
      </c>
      <c r="T32" s="137" t="e">
        <f>VLOOKUP(A32,saisie!B$7:AL$26,20,0)</f>
        <v>#N/A</v>
      </c>
      <c r="U32" s="138" t="e">
        <f>VLOOKUP(A32,saisie!B$7:AL$26,21,0)</f>
        <v>#N/A</v>
      </c>
      <c r="V32" s="136" t="e">
        <f>VLOOKUP(A32,saisie!B$7:AL$26,22,0)</f>
        <v>#N/A</v>
      </c>
      <c r="W32" s="133" t="e">
        <f>VLOOKUP(A32,saisie!B$7:AL$26,23,0)</f>
        <v>#N/A</v>
      </c>
      <c r="X32" s="133" t="e">
        <f>VLOOKUP(A32,saisie!B$7:AL$26,24,0)</f>
        <v>#N/A</v>
      </c>
      <c r="Y32" s="133" t="e">
        <f>VLOOKUP(A32,saisie!B$7:AL$26,25,0)</f>
        <v>#N/A</v>
      </c>
      <c r="Z32" s="137" t="e">
        <f>VLOOKUP(A32,saisie!B$7:AL$26,26,0)</f>
        <v>#N/A</v>
      </c>
      <c r="AA32" s="138" t="e">
        <f>VLOOKUP(A32,saisie!B$7:AL$26,27,0)</f>
        <v>#N/A</v>
      </c>
      <c r="AB32" s="136" t="e">
        <f>VLOOKUP(A32,saisie!B$7:AL$26,28,0)</f>
        <v>#N/A</v>
      </c>
      <c r="AC32" s="133" t="e">
        <f>VLOOKUP(A32,saisie!B$7:AL$26,29,0)</f>
        <v>#N/A</v>
      </c>
      <c r="AD32" s="133" t="e">
        <f>VLOOKUP(A32,saisie!B$7:AL$26,30,0)</f>
        <v>#N/A</v>
      </c>
      <c r="AE32" s="133" t="e">
        <f>VLOOKUP(A32,saisie!B$7:AL$26,31,0)</f>
        <v>#N/A</v>
      </c>
      <c r="AF32" s="137" t="e">
        <f>VLOOKUP(A32,saisie!B$7:AL$26,32,0)</f>
        <v>#N/A</v>
      </c>
      <c r="AG32" s="138" t="e">
        <f>VLOOKUP(A32,saisie!B$7:AL$26,33,0)</f>
        <v>#N/A</v>
      </c>
      <c r="AH32" s="144" t="e">
        <f>VLOOKUP(A32,saisie!B$7:AL$26,34,0)</f>
        <v>#N/A</v>
      </c>
      <c r="AI32" s="140" t="e">
        <f>VLOOKUP(A32,saisie!B$7:AL$26,35,0)</f>
        <v>#N/A</v>
      </c>
      <c r="AJ32" s="141"/>
    </row>
    <row r="33" spans="1:36" s="142" customFormat="1" ht="108.75" customHeight="1">
      <c r="A33" s="143">
        <f>IF(INFO!B8&gt;26,27,"")</f>
      </c>
      <c r="B33" s="129" t="e">
        <f>VLOOKUP(A33,saisie!B$7:AL$26,2,0)</f>
        <v>#N/A</v>
      </c>
      <c r="C33" s="130" t="e">
        <f>VLOOKUP(A33,saisie!B$7:AL$26,3,0)</f>
        <v>#N/A</v>
      </c>
      <c r="D33" s="131" t="e">
        <f>VLOOKUP(A33,saisie!B$7:AL$26,4,0)</f>
        <v>#N/A</v>
      </c>
      <c r="E33" s="132" t="e">
        <f>VLOOKUP(A33,saisie!B$7:AL$26,5,0)</f>
        <v>#N/A</v>
      </c>
      <c r="F33" s="133" t="e">
        <f>VLOOKUP(A33,saisie!B$7:AL$26,6,0)</f>
        <v>#N/A</v>
      </c>
      <c r="G33" s="133" t="e">
        <f>VLOOKUP(A33,saisie!B$7:AL$26,7,0)</f>
        <v>#N/A</v>
      </c>
      <c r="H33" s="134" t="e">
        <f>VLOOKUP(A33,saisie!B$7:AL$26,8,0)</f>
        <v>#N/A</v>
      </c>
      <c r="I33" s="135" t="e">
        <f>VLOOKUP(A33,saisie!B$7:AL$26,9,0)</f>
        <v>#N/A</v>
      </c>
      <c r="J33" s="136" t="e">
        <f>VLOOKUP(A33,saisie!B$7:AL$26,10,0)</f>
        <v>#N/A</v>
      </c>
      <c r="K33" s="133" t="e">
        <f>VLOOKUP(A33,saisie!B$7:AL$26,11,0)</f>
        <v>#N/A</v>
      </c>
      <c r="L33" s="133" t="e">
        <f>VLOOKUP(A33,saisie!B$7:AL$26,12,0)</f>
        <v>#N/A</v>
      </c>
      <c r="M33" s="133" t="e">
        <f>VLOOKUP(A33,saisie!B$7:AL$26,13,0)</f>
        <v>#N/A</v>
      </c>
      <c r="N33" s="137" t="e">
        <f>VLOOKUP(A33,saisie!B$7:AL$26,14,0)</f>
        <v>#N/A</v>
      </c>
      <c r="O33" s="138" t="e">
        <f>VLOOKUP(A33,saisie!B$7:AL$26,15,0)</f>
        <v>#N/A</v>
      </c>
      <c r="P33" s="136" t="e">
        <f>VLOOKUP(A33,saisie!B$7:AL$26,16,0)</f>
        <v>#N/A</v>
      </c>
      <c r="Q33" s="133" t="e">
        <f>VLOOKUP(A33,saisie!B$7:AL$26,17,0)</f>
        <v>#N/A</v>
      </c>
      <c r="R33" s="133" t="e">
        <f>VLOOKUP(A33,saisie!B$7:AL$26,18,0)</f>
        <v>#N/A</v>
      </c>
      <c r="S33" s="133" t="e">
        <f>VLOOKUP(A33,saisie!B$7:AL$26,19,0)</f>
        <v>#N/A</v>
      </c>
      <c r="T33" s="137" t="e">
        <f>VLOOKUP(A33,saisie!B$7:AL$26,20,0)</f>
        <v>#N/A</v>
      </c>
      <c r="U33" s="138" t="e">
        <f>VLOOKUP(A33,saisie!B$7:AL$26,21,0)</f>
        <v>#N/A</v>
      </c>
      <c r="V33" s="136" t="e">
        <f>VLOOKUP(A33,saisie!B$7:AL$26,22,0)</f>
        <v>#N/A</v>
      </c>
      <c r="W33" s="133" t="e">
        <f>VLOOKUP(A33,saisie!B$7:AL$26,23,0)</f>
        <v>#N/A</v>
      </c>
      <c r="X33" s="133" t="e">
        <f>VLOOKUP(A33,saisie!B$7:AL$26,24,0)</f>
        <v>#N/A</v>
      </c>
      <c r="Y33" s="133" t="e">
        <f>VLOOKUP(A33,saisie!B$7:AL$26,25,0)</f>
        <v>#N/A</v>
      </c>
      <c r="Z33" s="137" t="e">
        <f>VLOOKUP(A33,saisie!B$7:AL$26,26,0)</f>
        <v>#N/A</v>
      </c>
      <c r="AA33" s="138" t="e">
        <f>VLOOKUP(A33,saisie!B$7:AL$26,27,0)</f>
        <v>#N/A</v>
      </c>
      <c r="AB33" s="136" t="e">
        <f>VLOOKUP(A33,saisie!B$7:AL$26,28,0)</f>
        <v>#N/A</v>
      </c>
      <c r="AC33" s="133" t="e">
        <f>VLOOKUP(A33,saisie!B$7:AL$26,29,0)</f>
        <v>#N/A</v>
      </c>
      <c r="AD33" s="133" t="e">
        <f>VLOOKUP(A33,saisie!B$7:AL$26,30,0)</f>
        <v>#N/A</v>
      </c>
      <c r="AE33" s="133" t="e">
        <f>VLOOKUP(A33,saisie!B$7:AL$26,31,0)</f>
        <v>#N/A</v>
      </c>
      <c r="AF33" s="137" t="e">
        <f>VLOOKUP(A33,saisie!B$7:AL$26,32,0)</f>
        <v>#N/A</v>
      </c>
      <c r="AG33" s="138" t="e">
        <f>VLOOKUP(A33,saisie!B$7:AL$26,33,0)</f>
        <v>#N/A</v>
      </c>
      <c r="AH33" s="144" t="e">
        <f>VLOOKUP(A33,saisie!B$7:AL$26,34,0)</f>
        <v>#N/A</v>
      </c>
      <c r="AI33" s="140" t="e">
        <f>VLOOKUP(A33,saisie!B$7:AL$26,35,0)</f>
        <v>#N/A</v>
      </c>
      <c r="AJ33" s="141"/>
    </row>
    <row r="34" spans="1:36" s="142" customFormat="1" ht="108.75" customHeight="1">
      <c r="A34" s="143">
        <f>IF(INFO!B8&gt;27,28,"")</f>
      </c>
      <c r="B34" s="129" t="e">
        <f>VLOOKUP(A34,saisie!B$7:AL$26,2,0)</f>
        <v>#N/A</v>
      </c>
      <c r="C34" s="130" t="e">
        <f>VLOOKUP(A34,saisie!B$7:AL$26,3,0)</f>
        <v>#N/A</v>
      </c>
      <c r="D34" s="131" t="e">
        <f>VLOOKUP(A34,saisie!B$7:AL$26,4,0)</f>
        <v>#N/A</v>
      </c>
      <c r="E34" s="132" t="e">
        <f>VLOOKUP(A34,saisie!B$7:AL$26,5,0)</f>
        <v>#N/A</v>
      </c>
      <c r="F34" s="133" t="e">
        <f>VLOOKUP(A34,saisie!B$7:AL$26,6,0)</f>
        <v>#N/A</v>
      </c>
      <c r="G34" s="133" t="e">
        <f>VLOOKUP(A34,saisie!B$7:AL$26,7,0)</f>
        <v>#N/A</v>
      </c>
      <c r="H34" s="134" t="e">
        <f>VLOOKUP(A34,saisie!B$7:AL$26,8,0)</f>
        <v>#N/A</v>
      </c>
      <c r="I34" s="135" t="e">
        <f>VLOOKUP(A34,saisie!B$7:AL$26,9,0)</f>
        <v>#N/A</v>
      </c>
      <c r="J34" s="136" t="e">
        <f>VLOOKUP(A34,saisie!B$7:AL$26,10,0)</f>
        <v>#N/A</v>
      </c>
      <c r="K34" s="133" t="e">
        <f>VLOOKUP(A34,saisie!B$7:AL$26,11,0)</f>
        <v>#N/A</v>
      </c>
      <c r="L34" s="133" t="e">
        <f>VLOOKUP(A34,saisie!B$7:AL$26,12,0)</f>
        <v>#N/A</v>
      </c>
      <c r="M34" s="133" t="e">
        <f>VLOOKUP(A34,saisie!B$7:AL$26,13,0)</f>
        <v>#N/A</v>
      </c>
      <c r="N34" s="137" t="e">
        <f>VLOOKUP(A34,saisie!B$7:AL$26,14,0)</f>
        <v>#N/A</v>
      </c>
      <c r="O34" s="138" t="e">
        <f>VLOOKUP(A34,saisie!B$7:AL$26,15,0)</f>
        <v>#N/A</v>
      </c>
      <c r="P34" s="136" t="e">
        <f>VLOOKUP(A34,saisie!B$7:AL$26,16,0)</f>
        <v>#N/A</v>
      </c>
      <c r="Q34" s="133" t="e">
        <f>VLOOKUP(A34,saisie!B$7:AL$26,17,0)</f>
        <v>#N/A</v>
      </c>
      <c r="R34" s="133" t="e">
        <f>VLOOKUP(A34,saisie!B$7:AL$26,18,0)</f>
        <v>#N/A</v>
      </c>
      <c r="S34" s="133" t="e">
        <f>VLOOKUP(A34,saisie!B$7:AL$26,19,0)</f>
        <v>#N/A</v>
      </c>
      <c r="T34" s="137" t="e">
        <f>VLOOKUP(A34,saisie!B$7:AL$26,20,0)</f>
        <v>#N/A</v>
      </c>
      <c r="U34" s="138" t="e">
        <f>VLOOKUP(A34,saisie!B$7:AL$26,21,0)</f>
        <v>#N/A</v>
      </c>
      <c r="V34" s="136" t="e">
        <f>VLOOKUP(A34,saisie!B$7:AL$26,22,0)</f>
        <v>#N/A</v>
      </c>
      <c r="W34" s="133" t="e">
        <f>VLOOKUP(A34,saisie!B$7:AL$26,23,0)</f>
        <v>#N/A</v>
      </c>
      <c r="X34" s="133" t="e">
        <f>VLOOKUP(A34,saisie!B$7:AL$26,24,0)</f>
        <v>#N/A</v>
      </c>
      <c r="Y34" s="133" t="e">
        <f>VLOOKUP(A34,saisie!B$7:AL$26,25,0)</f>
        <v>#N/A</v>
      </c>
      <c r="Z34" s="137" t="e">
        <f>VLOOKUP(A34,saisie!B$7:AL$26,26,0)</f>
        <v>#N/A</v>
      </c>
      <c r="AA34" s="138" t="e">
        <f>VLOOKUP(A34,saisie!B$7:AL$26,27,0)</f>
        <v>#N/A</v>
      </c>
      <c r="AB34" s="136" t="e">
        <f>VLOOKUP(A34,saisie!B$7:AL$26,28,0)</f>
        <v>#N/A</v>
      </c>
      <c r="AC34" s="133" t="e">
        <f>VLOOKUP(A34,saisie!B$7:AL$26,29,0)</f>
        <v>#N/A</v>
      </c>
      <c r="AD34" s="133" t="e">
        <f>VLOOKUP(A34,saisie!B$7:AL$26,30,0)</f>
        <v>#N/A</v>
      </c>
      <c r="AE34" s="133" t="e">
        <f>VLOOKUP(A34,saisie!B$7:AL$26,31,0)</f>
        <v>#N/A</v>
      </c>
      <c r="AF34" s="137" t="e">
        <f>VLOOKUP(A34,saisie!B$7:AL$26,32,0)</f>
        <v>#N/A</v>
      </c>
      <c r="AG34" s="138" t="e">
        <f>VLOOKUP(A34,saisie!B$7:AL$26,33,0)</f>
        <v>#N/A</v>
      </c>
      <c r="AH34" s="144" t="e">
        <f>VLOOKUP(A34,saisie!B$7:AL$26,34,0)</f>
        <v>#N/A</v>
      </c>
      <c r="AI34" s="140" t="e">
        <f>VLOOKUP(A34,saisie!B$7:AL$26,35,0)</f>
        <v>#N/A</v>
      </c>
      <c r="AJ34" s="141"/>
    </row>
    <row r="35" spans="1:36" s="142" customFormat="1" ht="108.75" customHeight="1">
      <c r="A35" s="143">
        <f>IF(INFO!B8&gt;28,29,"")</f>
      </c>
      <c r="B35" s="129" t="e">
        <f>VLOOKUP(A35,saisie!B$7:AL$26,2,0)</f>
        <v>#N/A</v>
      </c>
      <c r="C35" s="130" t="e">
        <f>VLOOKUP(A35,saisie!B$7:AL$26,3,0)</f>
        <v>#N/A</v>
      </c>
      <c r="D35" s="131" t="e">
        <f>VLOOKUP(A35,saisie!B$7:AL$26,4,0)</f>
        <v>#N/A</v>
      </c>
      <c r="E35" s="132" t="e">
        <f>VLOOKUP(A35,saisie!B$7:AL$26,5,0)</f>
        <v>#N/A</v>
      </c>
      <c r="F35" s="133" t="e">
        <f>VLOOKUP(A35,saisie!B$7:AL$26,6,0)</f>
        <v>#N/A</v>
      </c>
      <c r="G35" s="133" t="e">
        <f>VLOOKUP(A35,saisie!B$7:AL$26,7,0)</f>
        <v>#N/A</v>
      </c>
      <c r="H35" s="134" t="e">
        <f>VLOOKUP(A35,saisie!B$7:AL$26,8,0)</f>
        <v>#N/A</v>
      </c>
      <c r="I35" s="135" t="e">
        <f>VLOOKUP(A35,saisie!B$7:AL$26,9,0)</f>
        <v>#N/A</v>
      </c>
      <c r="J35" s="136" t="e">
        <f>VLOOKUP(A35,saisie!B$7:AL$26,10,0)</f>
        <v>#N/A</v>
      </c>
      <c r="K35" s="133" t="e">
        <f>VLOOKUP(A35,saisie!B$7:AL$26,11,0)</f>
        <v>#N/A</v>
      </c>
      <c r="L35" s="133" t="e">
        <f>VLOOKUP(A35,saisie!B$7:AL$26,12,0)</f>
        <v>#N/A</v>
      </c>
      <c r="M35" s="133" t="e">
        <f>VLOOKUP(A35,saisie!B$7:AL$26,13,0)</f>
        <v>#N/A</v>
      </c>
      <c r="N35" s="137" t="e">
        <f>VLOOKUP(A35,saisie!B$7:AL$26,14,0)</f>
        <v>#N/A</v>
      </c>
      <c r="O35" s="138" t="e">
        <f>VLOOKUP(A35,saisie!B$7:AL$26,15,0)</f>
        <v>#N/A</v>
      </c>
      <c r="P35" s="136" t="e">
        <f>VLOOKUP(A35,saisie!B$7:AL$26,16,0)</f>
        <v>#N/A</v>
      </c>
      <c r="Q35" s="133" t="e">
        <f>VLOOKUP(A35,saisie!B$7:AL$26,17,0)</f>
        <v>#N/A</v>
      </c>
      <c r="R35" s="133" t="e">
        <f>VLOOKUP(A35,saisie!B$7:AL$26,18,0)</f>
        <v>#N/A</v>
      </c>
      <c r="S35" s="133" t="e">
        <f>VLOOKUP(A35,saisie!B$7:AL$26,19,0)</f>
        <v>#N/A</v>
      </c>
      <c r="T35" s="137" t="e">
        <f>VLOOKUP(A35,saisie!B$7:AL$26,20,0)</f>
        <v>#N/A</v>
      </c>
      <c r="U35" s="138" t="e">
        <f>VLOOKUP(A35,saisie!B$7:AL$26,21,0)</f>
        <v>#N/A</v>
      </c>
      <c r="V35" s="136" t="e">
        <f>VLOOKUP(A35,saisie!B$7:AL$26,22,0)</f>
        <v>#N/A</v>
      </c>
      <c r="W35" s="133" t="e">
        <f>VLOOKUP(A35,saisie!B$7:AL$26,23,0)</f>
        <v>#N/A</v>
      </c>
      <c r="X35" s="133" t="e">
        <f>VLOOKUP(A35,saisie!B$7:AL$26,24,0)</f>
        <v>#N/A</v>
      </c>
      <c r="Y35" s="133" t="e">
        <f>VLOOKUP(A35,saisie!B$7:AL$26,25,0)</f>
        <v>#N/A</v>
      </c>
      <c r="Z35" s="137" t="e">
        <f>VLOOKUP(A35,saisie!B$7:AL$26,26,0)</f>
        <v>#N/A</v>
      </c>
      <c r="AA35" s="138" t="e">
        <f>VLOOKUP(A35,saisie!B$7:AL$26,27,0)</f>
        <v>#N/A</v>
      </c>
      <c r="AB35" s="136" t="e">
        <f>VLOOKUP(A35,saisie!B$7:AL$26,28,0)</f>
        <v>#N/A</v>
      </c>
      <c r="AC35" s="133" t="e">
        <f>VLOOKUP(A35,saisie!B$7:AL$26,29,0)</f>
        <v>#N/A</v>
      </c>
      <c r="AD35" s="133" t="e">
        <f>VLOOKUP(A35,saisie!B$7:AL$26,30,0)</f>
        <v>#N/A</v>
      </c>
      <c r="AE35" s="133" t="e">
        <f>VLOOKUP(A35,saisie!B$7:AL$26,31,0)</f>
        <v>#N/A</v>
      </c>
      <c r="AF35" s="137" t="e">
        <f>VLOOKUP(A35,saisie!B$7:AL$26,32,0)</f>
        <v>#N/A</v>
      </c>
      <c r="AG35" s="138" t="e">
        <f>VLOOKUP(A35,saisie!B$7:AL$26,33,0)</f>
        <v>#N/A</v>
      </c>
      <c r="AH35" s="144" t="e">
        <f>VLOOKUP(A35,saisie!B$7:AL$26,34,0)</f>
        <v>#N/A</v>
      </c>
      <c r="AI35" s="140" t="e">
        <f>VLOOKUP(A35,saisie!B$7:AL$26,35,0)</f>
        <v>#N/A</v>
      </c>
      <c r="AJ35" s="141"/>
    </row>
    <row r="36" spans="1:36" s="142" customFormat="1" ht="108.75" customHeight="1">
      <c r="A36" s="143">
        <f>IF(INFO!B8&gt;29,30,"")</f>
      </c>
      <c r="B36" s="129" t="e">
        <f>VLOOKUP(A36,saisie!B$7:AL$26,2,0)</f>
        <v>#N/A</v>
      </c>
      <c r="C36" s="130" t="e">
        <f>VLOOKUP(A36,saisie!B$7:AL$26,3,0)</f>
        <v>#N/A</v>
      </c>
      <c r="D36" s="131" t="e">
        <f>VLOOKUP(A36,saisie!B$7:AL$26,4,0)</f>
        <v>#N/A</v>
      </c>
      <c r="E36" s="132" t="e">
        <f>VLOOKUP(A36,saisie!B$7:AL$26,5,0)</f>
        <v>#N/A</v>
      </c>
      <c r="F36" s="133" t="e">
        <f>VLOOKUP(A36,saisie!B$7:AL$26,6,0)</f>
        <v>#N/A</v>
      </c>
      <c r="G36" s="133" t="e">
        <f>VLOOKUP(A36,saisie!B$7:AL$26,7,0)</f>
        <v>#N/A</v>
      </c>
      <c r="H36" s="134" t="e">
        <f>VLOOKUP(A36,saisie!B$7:AL$26,8,0)</f>
        <v>#N/A</v>
      </c>
      <c r="I36" s="135" t="e">
        <f>VLOOKUP(A36,saisie!B$7:AL$26,9,0)</f>
        <v>#N/A</v>
      </c>
      <c r="J36" s="136" t="e">
        <f>VLOOKUP(A36,saisie!B$7:AL$26,10,0)</f>
        <v>#N/A</v>
      </c>
      <c r="K36" s="133" t="e">
        <f>VLOOKUP(A36,saisie!B$7:AL$26,11,0)</f>
        <v>#N/A</v>
      </c>
      <c r="L36" s="133" t="e">
        <f>VLOOKUP(A36,saisie!B$7:AL$26,12,0)</f>
        <v>#N/A</v>
      </c>
      <c r="M36" s="133" t="e">
        <f>VLOOKUP(A36,saisie!B$7:AL$26,13,0)</f>
        <v>#N/A</v>
      </c>
      <c r="N36" s="137" t="e">
        <f>VLOOKUP(A36,saisie!B$7:AL$26,14,0)</f>
        <v>#N/A</v>
      </c>
      <c r="O36" s="138" t="e">
        <f>VLOOKUP(A36,saisie!B$7:AL$26,15,0)</f>
        <v>#N/A</v>
      </c>
      <c r="P36" s="136" t="e">
        <f>VLOOKUP(A36,saisie!B$7:AL$26,16,0)</f>
        <v>#N/A</v>
      </c>
      <c r="Q36" s="133" t="e">
        <f>VLOOKUP(A36,saisie!B$7:AL$26,17,0)</f>
        <v>#N/A</v>
      </c>
      <c r="R36" s="133" t="e">
        <f>VLOOKUP(A36,saisie!B$7:AL$26,18,0)</f>
        <v>#N/A</v>
      </c>
      <c r="S36" s="133" t="e">
        <f>VLOOKUP(A36,saisie!B$7:AL$26,19,0)</f>
        <v>#N/A</v>
      </c>
      <c r="T36" s="137" t="e">
        <f>VLOOKUP(A36,saisie!B$7:AL$26,20,0)</f>
        <v>#N/A</v>
      </c>
      <c r="U36" s="138" t="e">
        <f>VLOOKUP(A36,saisie!B$7:AL$26,21,0)</f>
        <v>#N/A</v>
      </c>
      <c r="V36" s="136" t="e">
        <f>VLOOKUP(A36,saisie!B$7:AL$26,22,0)</f>
        <v>#N/A</v>
      </c>
      <c r="W36" s="133" t="e">
        <f>VLOOKUP(A36,saisie!B$7:AL$26,23,0)</f>
        <v>#N/A</v>
      </c>
      <c r="X36" s="133" t="e">
        <f>VLOOKUP(A36,saisie!B$7:AL$26,24,0)</f>
        <v>#N/A</v>
      </c>
      <c r="Y36" s="133" t="e">
        <f>VLOOKUP(A36,saisie!B$7:AL$26,25,0)</f>
        <v>#N/A</v>
      </c>
      <c r="Z36" s="137" t="e">
        <f>VLOOKUP(A36,saisie!B$7:AL$26,26,0)</f>
        <v>#N/A</v>
      </c>
      <c r="AA36" s="138" t="e">
        <f>VLOOKUP(A36,saisie!B$7:AL$26,27,0)</f>
        <v>#N/A</v>
      </c>
      <c r="AB36" s="136" t="e">
        <f>VLOOKUP(A36,saisie!B$7:AL$26,28,0)</f>
        <v>#N/A</v>
      </c>
      <c r="AC36" s="133" t="e">
        <f>VLOOKUP(A36,saisie!B$7:AL$26,29,0)</f>
        <v>#N/A</v>
      </c>
      <c r="AD36" s="133" t="e">
        <f>VLOOKUP(A36,saisie!B$7:AL$26,30,0)</f>
        <v>#N/A</v>
      </c>
      <c r="AE36" s="133" t="e">
        <f>VLOOKUP(A36,saisie!B$7:AL$26,31,0)</f>
        <v>#N/A</v>
      </c>
      <c r="AF36" s="137" t="e">
        <f>VLOOKUP(A36,saisie!B$7:AL$26,32,0)</f>
        <v>#N/A</v>
      </c>
      <c r="AG36" s="138" t="e">
        <f>VLOOKUP(A36,saisie!B$7:AL$26,33,0)</f>
        <v>#N/A</v>
      </c>
      <c r="AH36" s="144" t="e">
        <f>VLOOKUP(A36,saisie!B$7:AL$26,34,0)</f>
        <v>#N/A</v>
      </c>
      <c r="AI36" s="140" t="e">
        <f>VLOOKUP(A36,saisie!B$7:AL$26,35,0)</f>
        <v>#N/A</v>
      </c>
      <c r="AJ36" s="141"/>
    </row>
    <row r="37" spans="1:36" s="142" customFormat="1" ht="108.75" customHeight="1">
      <c r="A37" s="143">
        <f>IF(INFO!B8&gt;30,31,"")</f>
      </c>
      <c r="B37" s="129" t="e">
        <f>VLOOKUP(A37,saisie!B$7:AL$26,2,0)</f>
        <v>#N/A</v>
      </c>
      <c r="C37" s="130" t="e">
        <f>VLOOKUP(A37,saisie!B$7:AL$26,3,0)</f>
        <v>#N/A</v>
      </c>
      <c r="D37" s="131" t="e">
        <f>VLOOKUP(A37,saisie!B$7:AL$26,4,0)</f>
        <v>#N/A</v>
      </c>
      <c r="E37" s="132" t="e">
        <f>VLOOKUP(A37,saisie!B$7:AL$26,5,0)</f>
        <v>#N/A</v>
      </c>
      <c r="F37" s="133" t="e">
        <f>VLOOKUP(A37,saisie!B$7:AL$26,6,0)</f>
        <v>#N/A</v>
      </c>
      <c r="G37" s="133" t="e">
        <f>VLOOKUP(A37,saisie!B$7:AL$26,7,0)</f>
        <v>#N/A</v>
      </c>
      <c r="H37" s="134" t="e">
        <f>VLOOKUP(A37,saisie!B$7:AL$26,8,0)</f>
        <v>#N/A</v>
      </c>
      <c r="I37" s="135" t="e">
        <f>VLOOKUP(A37,saisie!B$7:AL$26,9,0)</f>
        <v>#N/A</v>
      </c>
      <c r="J37" s="136" t="e">
        <f>VLOOKUP(A37,saisie!B$7:AL$26,10,0)</f>
        <v>#N/A</v>
      </c>
      <c r="K37" s="133" t="e">
        <f>VLOOKUP(A37,saisie!B$7:AL$26,11,0)</f>
        <v>#N/A</v>
      </c>
      <c r="L37" s="133" t="e">
        <f>VLOOKUP(A37,saisie!B$7:AL$26,12,0)</f>
        <v>#N/A</v>
      </c>
      <c r="M37" s="133" t="e">
        <f>VLOOKUP(A37,saisie!B$7:AL$26,13,0)</f>
        <v>#N/A</v>
      </c>
      <c r="N37" s="137" t="e">
        <f>VLOOKUP(A37,saisie!B$7:AL$26,14,0)</f>
        <v>#N/A</v>
      </c>
      <c r="O37" s="138" t="e">
        <f>VLOOKUP(A37,saisie!B$7:AL$26,15,0)</f>
        <v>#N/A</v>
      </c>
      <c r="P37" s="136" t="e">
        <f>VLOOKUP(A37,saisie!B$7:AL$26,16,0)</f>
        <v>#N/A</v>
      </c>
      <c r="Q37" s="133" t="e">
        <f>VLOOKUP(A37,saisie!B$7:AL$26,17,0)</f>
        <v>#N/A</v>
      </c>
      <c r="R37" s="133" t="e">
        <f>VLOOKUP(A37,saisie!B$7:AL$26,18,0)</f>
        <v>#N/A</v>
      </c>
      <c r="S37" s="133" t="e">
        <f>VLOOKUP(A37,saisie!B$7:AL$26,19,0)</f>
        <v>#N/A</v>
      </c>
      <c r="T37" s="137" t="e">
        <f>VLOOKUP(A37,saisie!B$7:AL$26,20,0)</f>
        <v>#N/A</v>
      </c>
      <c r="U37" s="138" t="e">
        <f>VLOOKUP(A37,saisie!B$7:AL$26,21,0)</f>
        <v>#N/A</v>
      </c>
      <c r="V37" s="136" t="e">
        <f>VLOOKUP(A37,saisie!B$7:AL$26,22,0)</f>
        <v>#N/A</v>
      </c>
      <c r="W37" s="133" t="e">
        <f>VLOOKUP(A37,saisie!B$7:AL$26,23,0)</f>
        <v>#N/A</v>
      </c>
      <c r="X37" s="133" t="e">
        <f>VLOOKUP(A37,saisie!B$7:AL$26,24,0)</f>
        <v>#N/A</v>
      </c>
      <c r="Y37" s="133" t="e">
        <f>VLOOKUP(A37,saisie!B$7:AL$26,25,0)</f>
        <v>#N/A</v>
      </c>
      <c r="Z37" s="137" t="e">
        <f>VLOOKUP(A37,saisie!B$7:AL$26,26,0)</f>
        <v>#N/A</v>
      </c>
      <c r="AA37" s="138" t="e">
        <f>VLOOKUP(A37,saisie!B$7:AL$26,27,0)</f>
        <v>#N/A</v>
      </c>
      <c r="AB37" s="136" t="e">
        <f>VLOOKUP(A37,saisie!B$7:AL$26,28,0)</f>
        <v>#N/A</v>
      </c>
      <c r="AC37" s="133" t="e">
        <f>VLOOKUP(A37,saisie!B$7:AL$26,29,0)</f>
        <v>#N/A</v>
      </c>
      <c r="AD37" s="133" t="e">
        <f>VLOOKUP(A37,saisie!B$7:AL$26,30,0)</f>
        <v>#N/A</v>
      </c>
      <c r="AE37" s="133" t="e">
        <f>VLOOKUP(A37,saisie!B$7:AL$26,31,0)</f>
        <v>#N/A</v>
      </c>
      <c r="AF37" s="137" t="e">
        <f>VLOOKUP(A37,saisie!B$7:AL$26,32,0)</f>
        <v>#N/A</v>
      </c>
      <c r="AG37" s="138" t="e">
        <f>VLOOKUP(A37,saisie!B$7:AL$26,33,0)</f>
        <v>#N/A</v>
      </c>
      <c r="AH37" s="144" t="e">
        <f>VLOOKUP(A37,saisie!B$7:AL$26,34,0)</f>
        <v>#N/A</v>
      </c>
      <c r="AI37" s="140" t="e">
        <f>VLOOKUP(A37,saisie!B$7:AL$26,35,0)</f>
        <v>#N/A</v>
      </c>
      <c r="AJ37" s="141"/>
    </row>
    <row r="38" spans="1:36" s="142" customFormat="1" ht="108.75" customHeight="1">
      <c r="A38" s="143">
        <f>IF(INFO!B8&gt;31,32,"")</f>
      </c>
      <c r="B38" s="129" t="e">
        <f>VLOOKUP(A38,saisie!B$7:AL$26,2,0)</f>
        <v>#N/A</v>
      </c>
      <c r="C38" s="130" t="e">
        <f>VLOOKUP(A38,saisie!B$7:AL$26,3,0)</f>
        <v>#N/A</v>
      </c>
      <c r="D38" s="131" t="e">
        <f>VLOOKUP(A38,saisie!B$7:AL$26,4,0)</f>
        <v>#N/A</v>
      </c>
      <c r="E38" s="132" t="e">
        <f>VLOOKUP(A38,saisie!B$7:AL$26,5,0)</f>
        <v>#N/A</v>
      </c>
      <c r="F38" s="133" t="e">
        <f>VLOOKUP(A38,saisie!B$7:AL$26,6,0)</f>
        <v>#N/A</v>
      </c>
      <c r="G38" s="133" t="e">
        <f>VLOOKUP(A38,saisie!B$7:AL$26,7,0)</f>
        <v>#N/A</v>
      </c>
      <c r="H38" s="134" t="e">
        <f>VLOOKUP(A38,saisie!B$7:AL$26,8,0)</f>
        <v>#N/A</v>
      </c>
      <c r="I38" s="135" t="e">
        <f>VLOOKUP(A38,saisie!B$7:AL$26,9,0)</f>
        <v>#N/A</v>
      </c>
      <c r="J38" s="136" t="e">
        <f>VLOOKUP(A38,saisie!B$7:AL$26,10,0)</f>
        <v>#N/A</v>
      </c>
      <c r="K38" s="133" t="e">
        <f>VLOOKUP(A38,saisie!B$7:AL$26,11,0)</f>
        <v>#N/A</v>
      </c>
      <c r="L38" s="133" t="e">
        <f>VLOOKUP(A38,saisie!B$7:AL$26,12,0)</f>
        <v>#N/A</v>
      </c>
      <c r="M38" s="133" t="e">
        <f>VLOOKUP(A38,saisie!B$7:AL$26,13,0)</f>
        <v>#N/A</v>
      </c>
      <c r="N38" s="137" t="e">
        <f>VLOOKUP(A38,saisie!B$7:AL$26,14,0)</f>
        <v>#N/A</v>
      </c>
      <c r="O38" s="138" t="e">
        <f>VLOOKUP(A38,saisie!B$7:AL$26,15,0)</f>
        <v>#N/A</v>
      </c>
      <c r="P38" s="136" t="e">
        <f>VLOOKUP(A38,saisie!B$7:AL$26,16,0)</f>
        <v>#N/A</v>
      </c>
      <c r="Q38" s="133" t="e">
        <f>VLOOKUP(A38,saisie!B$7:AL$26,17,0)</f>
        <v>#N/A</v>
      </c>
      <c r="R38" s="133" t="e">
        <f>VLOOKUP(A38,saisie!B$7:AL$26,18,0)</f>
        <v>#N/A</v>
      </c>
      <c r="S38" s="133" t="e">
        <f>VLOOKUP(A38,saisie!B$7:AL$26,19,0)</f>
        <v>#N/A</v>
      </c>
      <c r="T38" s="137" t="e">
        <f>VLOOKUP(A38,saisie!B$7:AL$26,20,0)</f>
        <v>#N/A</v>
      </c>
      <c r="U38" s="138" t="e">
        <f>VLOOKUP(A38,saisie!B$7:AL$26,21,0)</f>
        <v>#N/A</v>
      </c>
      <c r="V38" s="136" t="e">
        <f>VLOOKUP(A38,saisie!B$7:AL$26,22,0)</f>
        <v>#N/A</v>
      </c>
      <c r="W38" s="133" t="e">
        <f>VLOOKUP(A38,saisie!B$7:AL$26,23,0)</f>
        <v>#N/A</v>
      </c>
      <c r="X38" s="133" t="e">
        <f>VLOOKUP(A38,saisie!B$7:AL$26,24,0)</f>
        <v>#N/A</v>
      </c>
      <c r="Y38" s="133" t="e">
        <f>VLOOKUP(A38,saisie!B$7:AL$26,25,0)</f>
        <v>#N/A</v>
      </c>
      <c r="Z38" s="137" t="e">
        <f>VLOOKUP(A38,saisie!B$7:AL$26,26,0)</f>
        <v>#N/A</v>
      </c>
      <c r="AA38" s="138" t="e">
        <f>VLOOKUP(A38,saisie!B$7:AL$26,27,0)</f>
        <v>#N/A</v>
      </c>
      <c r="AB38" s="136" t="e">
        <f>VLOOKUP(A38,saisie!B$7:AL$26,28,0)</f>
        <v>#N/A</v>
      </c>
      <c r="AC38" s="133" t="e">
        <f>VLOOKUP(A38,saisie!B$7:AL$26,29,0)</f>
        <v>#N/A</v>
      </c>
      <c r="AD38" s="133" t="e">
        <f>VLOOKUP(A38,saisie!B$7:AL$26,30,0)</f>
        <v>#N/A</v>
      </c>
      <c r="AE38" s="133" t="e">
        <f>VLOOKUP(A38,saisie!B$7:AL$26,31,0)</f>
        <v>#N/A</v>
      </c>
      <c r="AF38" s="137" t="e">
        <f>VLOOKUP(A38,saisie!B$7:AL$26,32,0)</f>
        <v>#N/A</v>
      </c>
      <c r="AG38" s="138" t="e">
        <f>VLOOKUP(A38,saisie!B$7:AL$26,33,0)</f>
        <v>#N/A</v>
      </c>
      <c r="AH38" s="144" t="e">
        <f>VLOOKUP(A38,saisie!B$7:AL$26,34,0)</f>
        <v>#N/A</v>
      </c>
      <c r="AI38" s="140" t="e">
        <f>VLOOKUP(A38,saisie!B$7:AL$26,35,0)</f>
        <v>#N/A</v>
      </c>
      <c r="AJ38" s="141"/>
    </row>
    <row r="39" spans="1:36" s="142" customFormat="1" ht="108.75" customHeight="1">
      <c r="A39" s="143">
        <f>IF(INFO!B8&gt;32,33,"")</f>
      </c>
      <c r="B39" s="129" t="e">
        <f>VLOOKUP(A39,saisie!B$7:AL$26,2,0)</f>
        <v>#N/A</v>
      </c>
      <c r="C39" s="130" t="e">
        <f>VLOOKUP(A39,saisie!B$7:AL$26,3,0)</f>
        <v>#N/A</v>
      </c>
      <c r="D39" s="131" t="e">
        <f>VLOOKUP(A39,saisie!B$7:AL$26,4,0)</f>
        <v>#N/A</v>
      </c>
      <c r="E39" s="132" t="e">
        <f>VLOOKUP(A39,saisie!B$7:AL$26,5,0)</f>
        <v>#N/A</v>
      </c>
      <c r="F39" s="133" t="e">
        <f>VLOOKUP(A39,saisie!B$7:AL$26,6,0)</f>
        <v>#N/A</v>
      </c>
      <c r="G39" s="133" t="e">
        <f>VLOOKUP(A39,saisie!B$7:AL$26,7,0)</f>
        <v>#N/A</v>
      </c>
      <c r="H39" s="134" t="e">
        <f>VLOOKUP(A39,saisie!B$7:AL$26,8,0)</f>
        <v>#N/A</v>
      </c>
      <c r="I39" s="135" t="e">
        <f>VLOOKUP(A39,saisie!B$7:AL$26,9,0)</f>
        <v>#N/A</v>
      </c>
      <c r="J39" s="136" t="e">
        <f>VLOOKUP(A39,saisie!B$7:AL$26,10,0)</f>
        <v>#N/A</v>
      </c>
      <c r="K39" s="133" t="e">
        <f>VLOOKUP(A39,saisie!B$7:AL$26,11,0)</f>
        <v>#N/A</v>
      </c>
      <c r="L39" s="133" t="e">
        <f>VLOOKUP(A39,saisie!B$7:AL$26,12,0)</f>
        <v>#N/A</v>
      </c>
      <c r="M39" s="133" t="e">
        <f>VLOOKUP(A39,saisie!B$7:AL$26,13,0)</f>
        <v>#N/A</v>
      </c>
      <c r="N39" s="137" t="e">
        <f>VLOOKUP(A39,saisie!B$7:AL$26,14,0)</f>
        <v>#N/A</v>
      </c>
      <c r="O39" s="138" t="e">
        <f>VLOOKUP(A39,saisie!B$7:AL$26,15,0)</f>
        <v>#N/A</v>
      </c>
      <c r="P39" s="136" t="e">
        <f>VLOOKUP(A39,saisie!B$7:AL$26,16,0)</f>
        <v>#N/A</v>
      </c>
      <c r="Q39" s="133" t="e">
        <f>VLOOKUP(A39,saisie!B$7:AL$26,17,0)</f>
        <v>#N/A</v>
      </c>
      <c r="R39" s="133" t="e">
        <f>VLOOKUP(A39,saisie!B$7:AL$26,18,0)</f>
        <v>#N/A</v>
      </c>
      <c r="S39" s="133" t="e">
        <f>VLOOKUP(A39,saisie!B$7:AL$26,19,0)</f>
        <v>#N/A</v>
      </c>
      <c r="T39" s="137" t="e">
        <f>VLOOKUP(A39,saisie!B$7:AL$26,20,0)</f>
        <v>#N/A</v>
      </c>
      <c r="U39" s="138" t="e">
        <f>VLOOKUP(A39,saisie!B$7:AL$26,21,0)</f>
        <v>#N/A</v>
      </c>
      <c r="V39" s="136" t="e">
        <f>VLOOKUP(A39,saisie!B$7:AL$26,22,0)</f>
        <v>#N/A</v>
      </c>
      <c r="W39" s="133" t="e">
        <f>VLOOKUP(A39,saisie!B$7:AL$26,23,0)</f>
        <v>#N/A</v>
      </c>
      <c r="X39" s="133" t="e">
        <f>VLOOKUP(A39,saisie!B$7:AL$26,24,0)</f>
        <v>#N/A</v>
      </c>
      <c r="Y39" s="133" t="e">
        <f>VLOOKUP(A39,saisie!B$7:AL$26,25,0)</f>
        <v>#N/A</v>
      </c>
      <c r="Z39" s="137" t="e">
        <f>VLOOKUP(A39,saisie!B$7:AL$26,26,0)</f>
        <v>#N/A</v>
      </c>
      <c r="AA39" s="138" t="e">
        <f>VLOOKUP(A39,saisie!B$7:AL$26,27,0)</f>
        <v>#N/A</v>
      </c>
      <c r="AB39" s="136" t="e">
        <f>VLOOKUP(A39,saisie!B$7:AL$26,28,0)</f>
        <v>#N/A</v>
      </c>
      <c r="AC39" s="133" t="e">
        <f>VLOOKUP(A39,saisie!B$7:AL$26,29,0)</f>
        <v>#N/A</v>
      </c>
      <c r="AD39" s="133" t="e">
        <f>VLOOKUP(A39,saisie!B$7:AL$26,30,0)</f>
        <v>#N/A</v>
      </c>
      <c r="AE39" s="133" t="e">
        <f>VLOOKUP(A39,saisie!B$7:AL$26,31,0)</f>
        <v>#N/A</v>
      </c>
      <c r="AF39" s="137" t="e">
        <f>VLOOKUP(A39,saisie!B$7:AL$26,32,0)</f>
        <v>#N/A</v>
      </c>
      <c r="AG39" s="138" t="e">
        <f>VLOOKUP(A39,saisie!B$7:AL$26,33,0)</f>
        <v>#N/A</v>
      </c>
      <c r="AH39" s="144" t="e">
        <f>VLOOKUP(A39,saisie!B$7:AL$26,34,0)</f>
        <v>#N/A</v>
      </c>
      <c r="AI39" s="140" t="e">
        <f>VLOOKUP(A39,saisie!B$7:AL$26,35,0)</f>
        <v>#N/A</v>
      </c>
      <c r="AJ39" s="141"/>
    </row>
    <row r="40" spans="1:36" s="142" customFormat="1" ht="108.75" customHeight="1">
      <c r="A40" s="143">
        <f>IF(INFO!B8&gt;33,34,"")</f>
      </c>
      <c r="B40" s="129" t="e">
        <f>VLOOKUP(A40,saisie!B$7:AL$26,2,0)</f>
        <v>#N/A</v>
      </c>
      <c r="C40" s="130" t="e">
        <f>VLOOKUP(A40,saisie!B$7:AL$26,3,0)</f>
        <v>#N/A</v>
      </c>
      <c r="D40" s="131" t="e">
        <f>VLOOKUP(A40,saisie!B$7:AL$26,4,0)</f>
        <v>#N/A</v>
      </c>
      <c r="E40" s="132" t="e">
        <f>VLOOKUP(A40,saisie!B$7:AL$26,5,0)</f>
        <v>#N/A</v>
      </c>
      <c r="F40" s="133" t="e">
        <f>VLOOKUP(A40,saisie!B$7:AL$26,6,0)</f>
        <v>#N/A</v>
      </c>
      <c r="G40" s="133" t="e">
        <f>VLOOKUP(A40,saisie!B$7:AL$26,7,0)</f>
        <v>#N/A</v>
      </c>
      <c r="H40" s="134" t="e">
        <f>VLOOKUP(A40,saisie!B$7:AL$26,8,0)</f>
        <v>#N/A</v>
      </c>
      <c r="I40" s="135" t="e">
        <f>VLOOKUP(A40,saisie!B$7:AL$26,9,0)</f>
        <v>#N/A</v>
      </c>
      <c r="J40" s="136" t="e">
        <f>VLOOKUP(A40,saisie!B$7:AL$26,10,0)</f>
        <v>#N/A</v>
      </c>
      <c r="K40" s="133" t="e">
        <f>VLOOKUP(A40,saisie!B$7:AL$26,11,0)</f>
        <v>#N/A</v>
      </c>
      <c r="L40" s="133" t="e">
        <f>VLOOKUP(A40,saisie!B$7:AL$26,12,0)</f>
        <v>#N/A</v>
      </c>
      <c r="M40" s="133" t="e">
        <f>VLOOKUP(A40,saisie!B$7:AL$26,13,0)</f>
        <v>#N/A</v>
      </c>
      <c r="N40" s="137" t="e">
        <f>VLOOKUP(A40,saisie!B$7:AL$26,14,0)</f>
        <v>#N/A</v>
      </c>
      <c r="O40" s="138" t="e">
        <f>VLOOKUP(A40,saisie!B$7:AL$26,15,0)</f>
        <v>#N/A</v>
      </c>
      <c r="P40" s="136" t="e">
        <f>VLOOKUP(A40,saisie!B$7:AL$26,16,0)</f>
        <v>#N/A</v>
      </c>
      <c r="Q40" s="133" t="e">
        <f>VLOOKUP(A40,saisie!B$7:AL$26,17,0)</f>
        <v>#N/A</v>
      </c>
      <c r="R40" s="133" t="e">
        <f>VLOOKUP(A40,saisie!B$7:AL$26,18,0)</f>
        <v>#N/A</v>
      </c>
      <c r="S40" s="133" t="e">
        <f>VLOOKUP(A40,saisie!B$7:AL$26,19,0)</f>
        <v>#N/A</v>
      </c>
      <c r="T40" s="137" t="e">
        <f>VLOOKUP(A40,saisie!B$7:AL$26,20,0)</f>
        <v>#N/A</v>
      </c>
      <c r="U40" s="138" t="e">
        <f>VLOOKUP(A40,saisie!B$7:AL$26,21,0)</f>
        <v>#N/A</v>
      </c>
      <c r="V40" s="136" t="e">
        <f>VLOOKUP(A40,saisie!B$7:AL$26,22,0)</f>
        <v>#N/A</v>
      </c>
      <c r="W40" s="133" t="e">
        <f>VLOOKUP(A40,saisie!B$7:AL$26,23,0)</f>
        <v>#N/A</v>
      </c>
      <c r="X40" s="133" t="e">
        <f>VLOOKUP(A40,saisie!B$7:AL$26,24,0)</f>
        <v>#N/A</v>
      </c>
      <c r="Y40" s="133" t="e">
        <f>VLOOKUP(A40,saisie!B$7:AL$26,25,0)</f>
        <v>#N/A</v>
      </c>
      <c r="Z40" s="137" t="e">
        <f>VLOOKUP(A40,saisie!B$7:AL$26,26,0)</f>
        <v>#N/A</v>
      </c>
      <c r="AA40" s="138" t="e">
        <f>VLOOKUP(A40,saisie!B$7:AL$26,27,0)</f>
        <v>#N/A</v>
      </c>
      <c r="AB40" s="136" t="e">
        <f>VLOOKUP(A40,saisie!B$7:AL$26,28,0)</f>
        <v>#N/A</v>
      </c>
      <c r="AC40" s="133" t="e">
        <f>VLOOKUP(A40,saisie!B$7:AL$26,29,0)</f>
        <v>#N/A</v>
      </c>
      <c r="AD40" s="133" t="e">
        <f>VLOOKUP(A40,saisie!B$7:AL$26,30,0)</f>
        <v>#N/A</v>
      </c>
      <c r="AE40" s="133" t="e">
        <f>VLOOKUP(A40,saisie!B$7:AL$26,31,0)</f>
        <v>#N/A</v>
      </c>
      <c r="AF40" s="137" t="e">
        <f>VLOOKUP(A40,saisie!B$7:AL$26,32,0)</f>
        <v>#N/A</v>
      </c>
      <c r="AG40" s="138" t="e">
        <f>VLOOKUP(A40,saisie!B$7:AL$26,33,0)</f>
        <v>#N/A</v>
      </c>
      <c r="AH40" s="144" t="e">
        <f>VLOOKUP(A40,saisie!B$7:AL$26,34,0)</f>
        <v>#N/A</v>
      </c>
      <c r="AI40" s="140" t="e">
        <f>VLOOKUP(A40,saisie!B$7:AL$26,35,0)</f>
        <v>#N/A</v>
      </c>
      <c r="AJ40" s="141"/>
    </row>
    <row r="41" spans="1:36" s="142" customFormat="1" ht="108.75" customHeight="1">
      <c r="A41" s="143">
        <f>IF(INFO!B8&gt;34,35,"")</f>
      </c>
      <c r="B41" s="129" t="e">
        <f>VLOOKUP(A41,saisie!B$7:AL$26,2,0)</f>
        <v>#N/A</v>
      </c>
      <c r="C41" s="130" t="e">
        <f>VLOOKUP(A41,saisie!B$7:AL$26,3,0)</f>
        <v>#N/A</v>
      </c>
      <c r="D41" s="131" t="e">
        <f>VLOOKUP(A41,saisie!B$7:AL$26,4,0)</f>
        <v>#N/A</v>
      </c>
      <c r="E41" s="132" t="e">
        <f>VLOOKUP(A41,saisie!B$7:AL$26,5,0)</f>
        <v>#N/A</v>
      </c>
      <c r="F41" s="133" t="e">
        <f>VLOOKUP(A41,saisie!B$7:AL$26,6,0)</f>
        <v>#N/A</v>
      </c>
      <c r="G41" s="133" t="e">
        <f>VLOOKUP(A41,saisie!B$7:AL$26,7,0)</f>
        <v>#N/A</v>
      </c>
      <c r="H41" s="134" t="e">
        <f>VLOOKUP(A41,saisie!B$7:AL$26,8,0)</f>
        <v>#N/A</v>
      </c>
      <c r="I41" s="135" t="e">
        <f>VLOOKUP(A41,saisie!B$7:AL$26,9,0)</f>
        <v>#N/A</v>
      </c>
      <c r="J41" s="136" t="e">
        <f>VLOOKUP(A41,saisie!B$7:AL$26,10,0)</f>
        <v>#N/A</v>
      </c>
      <c r="K41" s="133" t="e">
        <f>VLOOKUP(A41,saisie!B$7:AL$26,11,0)</f>
        <v>#N/A</v>
      </c>
      <c r="L41" s="133" t="e">
        <f>VLOOKUP(A41,saisie!B$7:AL$26,12,0)</f>
        <v>#N/A</v>
      </c>
      <c r="M41" s="133" t="e">
        <f>VLOOKUP(A41,saisie!B$7:AL$26,13,0)</f>
        <v>#N/A</v>
      </c>
      <c r="N41" s="137" t="e">
        <f>VLOOKUP(A41,saisie!B$7:AL$26,14,0)</f>
        <v>#N/A</v>
      </c>
      <c r="O41" s="138" t="e">
        <f>VLOOKUP(A41,saisie!B$7:AL$26,15,0)</f>
        <v>#N/A</v>
      </c>
      <c r="P41" s="136" t="e">
        <f>VLOOKUP(A41,saisie!B$7:AL$26,16,0)</f>
        <v>#N/A</v>
      </c>
      <c r="Q41" s="133" t="e">
        <f>VLOOKUP(A41,saisie!B$7:AL$26,17,0)</f>
        <v>#N/A</v>
      </c>
      <c r="R41" s="133" t="e">
        <f>VLOOKUP(A41,saisie!B$7:AL$26,18,0)</f>
        <v>#N/A</v>
      </c>
      <c r="S41" s="133" t="e">
        <f>VLOOKUP(A41,saisie!B$7:AL$26,19,0)</f>
        <v>#N/A</v>
      </c>
      <c r="T41" s="137" t="e">
        <f>VLOOKUP(A41,saisie!B$7:AL$26,20,0)</f>
        <v>#N/A</v>
      </c>
      <c r="U41" s="138" t="e">
        <f>VLOOKUP(A41,saisie!B$7:AL$26,21,0)</f>
        <v>#N/A</v>
      </c>
      <c r="V41" s="136" t="e">
        <f>VLOOKUP(A41,saisie!B$7:AL$26,22,0)</f>
        <v>#N/A</v>
      </c>
      <c r="W41" s="133" t="e">
        <f>VLOOKUP(A41,saisie!B$7:AL$26,23,0)</f>
        <v>#N/A</v>
      </c>
      <c r="X41" s="133" t="e">
        <f>VLOOKUP(A41,saisie!B$7:AL$26,24,0)</f>
        <v>#N/A</v>
      </c>
      <c r="Y41" s="133" t="e">
        <f>VLOOKUP(A41,saisie!B$7:AL$26,25,0)</f>
        <v>#N/A</v>
      </c>
      <c r="Z41" s="137" t="e">
        <f>VLOOKUP(A41,saisie!B$7:AL$26,26,0)</f>
        <v>#N/A</v>
      </c>
      <c r="AA41" s="138" t="e">
        <f>VLOOKUP(A41,saisie!B$7:AL$26,27,0)</f>
        <v>#N/A</v>
      </c>
      <c r="AB41" s="136" t="e">
        <f>VLOOKUP(A41,saisie!B$7:AL$26,28,0)</f>
        <v>#N/A</v>
      </c>
      <c r="AC41" s="133" t="e">
        <f>VLOOKUP(A41,saisie!B$7:AL$26,29,0)</f>
        <v>#N/A</v>
      </c>
      <c r="AD41" s="133" t="e">
        <f>VLOOKUP(A41,saisie!B$7:AL$26,30,0)</f>
        <v>#N/A</v>
      </c>
      <c r="AE41" s="133" t="e">
        <f>VLOOKUP(A41,saisie!B$7:AL$26,31,0)</f>
        <v>#N/A</v>
      </c>
      <c r="AF41" s="137" t="e">
        <f>VLOOKUP(A41,saisie!B$7:AL$26,32,0)</f>
        <v>#N/A</v>
      </c>
      <c r="AG41" s="138" t="e">
        <f>VLOOKUP(A41,saisie!B$7:AL$26,33,0)</f>
        <v>#N/A</v>
      </c>
      <c r="AH41" s="144" t="e">
        <f>VLOOKUP(A41,saisie!B$7:AL$26,34,0)</f>
        <v>#N/A</v>
      </c>
      <c r="AI41" s="140" t="e">
        <f>VLOOKUP(A41,saisie!B$7:AL$26,35,0)</f>
        <v>#N/A</v>
      </c>
      <c r="AJ41" s="141"/>
    </row>
    <row r="42" spans="1:36" s="142" customFormat="1" ht="108.75" customHeight="1">
      <c r="A42" s="143">
        <f>IF(INFO!B8&gt;35,36,"")</f>
      </c>
      <c r="B42" s="129" t="e">
        <f>VLOOKUP(A42,saisie!B$7:AL$26,2,0)</f>
        <v>#N/A</v>
      </c>
      <c r="C42" s="130" t="e">
        <f>VLOOKUP(A42,saisie!B$7:AL$26,3,0)</f>
        <v>#N/A</v>
      </c>
      <c r="D42" s="131" t="e">
        <f>VLOOKUP(A42,saisie!B$7:AL$26,4,0)</f>
        <v>#N/A</v>
      </c>
      <c r="E42" s="132" t="e">
        <f>VLOOKUP(A42,saisie!B$7:AL$26,5,0)</f>
        <v>#N/A</v>
      </c>
      <c r="F42" s="133" t="e">
        <f>VLOOKUP(A42,saisie!B$7:AL$26,6,0)</f>
        <v>#N/A</v>
      </c>
      <c r="G42" s="133" t="e">
        <f>VLOOKUP(A42,saisie!B$7:AL$26,7,0)</f>
        <v>#N/A</v>
      </c>
      <c r="H42" s="134" t="e">
        <f>VLOOKUP(A42,saisie!B$7:AL$26,8,0)</f>
        <v>#N/A</v>
      </c>
      <c r="I42" s="135" t="e">
        <f>VLOOKUP(A42,saisie!B$7:AL$26,9,0)</f>
        <v>#N/A</v>
      </c>
      <c r="J42" s="136" t="e">
        <f>VLOOKUP(A42,saisie!B$7:AL$26,10,0)</f>
        <v>#N/A</v>
      </c>
      <c r="K42" s="133" t="e">
        <f>VLOOKUP(A42,saisie!B$7:AL$26,11,0)</f>
        <v>#N/A</v>
      </c>
      <c r="L42" s="133" t="e">
        <f>VLOOKUP(A42,saisie!B$7:AL$26,12,0)</f>
        <v>#N/A</v>
      </c>
      <c r="M42" s="133" t="e">
        <f>VLOOKUP(A42,saisie!B$7:AL$26,13,0)</f>
        <v>#N/A</v>
      </c>
      <c r="N42" s="137" t="e">
        <f>VLOOKUP(A42,saisie!B$7:AL$26,14,0)</f>
        <v>#N/A</v>
      </c>
      <c r="O42" s="138" t="e">
        <f>VLOOKUP(A42,saisie!B$7:AL$26,15,0)</f>
        <v>#N/A</v>
      </c>
      <c r="P42" s="136" t="e">
        <f>VLOOKUP(A42,saisie!B$7:AL$26,16,0)</f>
        <v>#N/A</v>
      </c>
      <c r="Q42" s="133" t="e">
        <f>VLOOKUP(A42,saisie!B$7:AL$26,17,0)</f>
        <v>#N/A</v>
      </c>
      <c r="R42" s="133" t="e">
        <f>VLOOKUP(A42,saisie!B$7:AL$26,18,0)</f>
        <v>#N/A</v>
      </c>
      <c r="S42" s="133" t="e">
        <f>VLOOKUP(A42,saisie!B$7:AL$26,19,0)</f>
        <v>#N/A</v>
      </c>
      <c r="T42" s="137" t="e">
        <f>VLOOKUP(A42,saisie!B$7:AL$26,20,0)</f>
        <v>#N/A</v>
      </c>
      <c r="U42" s="138" t="e">
        <f>VLOOKUP(A42,saisie!B$7:AL$26,21,0)</f>
        <v>#N/A</v>
      </c>
      <c r="V42" s="136" t="e">
        <f>VLOOKUP(A42,saisie!B$7:AL$26,22,0)</f>
        <v>#N/A</v>
      </c>
      <c r="W42" s="133" t="e">
        <f>VLOOKUP(A42,saisie!B$7:AL$26,23,0)</f>
        <v>#N/A</v>
      </c>
      <c r="X42" s="133" t="e">
        <f>VLOOKUP(A42,saisie!B$7:AL$26,24,0)</f>
        <v>#N/A</v>
      </c>
      <c r="Y42" s="133" t="e">
        <f>VLOOKUP(A42,saisie!B$7:AL$26,25,0)</f>
        <v>#N/A</v>
      </c>
      <c r="Z42" s="137" t="e">
        <f>VLOOKUP(A42,saisie!B$7:AL$26,26,0)</f>
        <v>#N/A</v>
      </c>
      <c r="AA42" s="138" t="e">
        <f>VLOOKUP(A42,saisie!B$7:AL$26,27,0)</f>
        <v>#N/A</v>
      </c>
      <c r="AB42" s="136" t="e">
        <f>VLOOKUP(A42,saisie!B$7:AL$26,28,0)</f>
        <v>#N/A</v>
      </c>
      <c r="AC42" s="133" t="e">
        <f>VLOOKUP(A42,saisie!B$7:AL$26,29,0)</f>
        <v>#N/A</v>
      </c>
      <c r="AD42" s="133" t="e">
        <f>VLOOKUP(A42,saisie!B$7:AL$26,30,0)</f>
        <v>#N/A</v>
      </c>
      <c r="AE42" s="133" t="e">
        <f>VLOOKUP(A42,saisie!B$7:AL$26,31,0)</f>
        <v>#N/A</v>
      </c>
      <c r="AF42" s="137" t="e">
        <f>VLOOKUP(A42,saisie!B$7:AL$26,32,0)</f>
        <v>#N/A</v>
      </c>
      <c r="AG42" s="138" t="e">
        <f>VLOOKUP(A42,saisie!B$7:AL$26,33,0)</f>
        <v>#N/A</v>
      </c>
      <c r="AH42" s="144" t="e">
        <f>VLOOKUP(A42,saisie!B$7:AL$26,34,0)</f>
        <v>#N/A</v>
      </c>
      <c r="AI42" s="140" t="e">
        <f>VLOOKUP(A42,saisie!B$7:AL$26,35,0)</f>
        <v>#N/A</v>
      </c>
      <c r="AJ42" s="141"/>
    </row>
    <row r="43" spans="1:36" s="142" customFormat="1" ht="108.75" customHeight="1">
      <c r="A43" s="143">
        <f>IF(INFO!B8&gt;36,37,"")</f>
      </c>
      <c r="B43" s="129" t="e">
        <f>VLOOKUP(A43,saisie!B$7:AL$26,2,0)</f>
        <v>#N/A</v>
      </c>
      <c r="C43" s="130" t="e">
        <f>VLOOKUP(A43,saisie!B$7:AL$26,3,0)</f>
        <v>#N/A</v>
      </c>
      <c r="D43" s="131" t="e">
        <f>VLOOKUP(A43,saisie!B$7:AL$26,4,0)</f>
        <v>#N/A</v>
      </c>
      <c r="E43" s="132" t="e">
        <f>VLOOKUP(A43,saisie!B$7:AL$26,5,0)</f>
        <v>#N/A</v>
      </c>
      <c r="F43" s="133" t="e">
        <f>VLOOKUP(A43,saisie!B$7:AL$26,6,0)</f>
        <v>#N/A</v>
      </c>
      <c r="G43" s="133" t="e">
        <f>VLOOKUP(A43,saisie!B$7:AL$26,7,0)</f>
        <v>#N/A</v>
      </c>
      <c r="H43" s="134" t="e">
        <f>VLOOKUP(A43,saisie!B$7:AL$26,8,0)</f>
        <v>#N/A</v>
      </c>
      <c r="I43" s="135" t="e">
        <f>VLOOKUP(A43,saisie!B$7:AL$26,9,0)</f>
        <v>#N/A</v>
      </c>
      <c r="J43" s="136" t="e">
        <f>VLOOKUP(A43,saisie!B$7:AL$26,10,0)</f>
        <v>#N/A</v>
      </c>
      <c r="K43" s="133" t="e">
        <f>VLOOKUP(A43,saisie!B$7:AL$26,11,0)</f>
        <v>#N/A</v>
      </c>
      <c r="L43" s="133" t="e">
        <f>VLOOKUP(A43,saisie!B$7:AL$26,12,0)</f>
        <v>#N/A</v>
      </c>
      <c r="M43" s="133" t="e">
        <f>VLOOKUP(A43,saisie!B$7:AL$26,13,0)</f>
        <v>#N/A</v>
      </c>
      <c r="N43" s="137" t="e">
        <f>VLOOKUP(A43,saisie!B$7:AL$26,14,0)</f>
        <v>#N/A</v>
      </c>
      <c r="O43" s="138" t="e">
        <f>VLOOKUP(A43,saisie!B$7:AL$26,15,0)</f>
        <v>#N/A</v>
      </c>
      <c r="P43" s="136" t="e">
        <f>VLOOKUP(A43,saisie!B$7:AL$26,16,0)</f>
        <v>#N/A</v>
      </c>
      <c r="Q43" s="133" t="e">
        <f>VLOOKUP(A43,saisie!B$7:AL$26,17,0)</f>
        <v>#N/A</v>
      </c>
      <c r="R43" s="133" t="e">
        <f>VLOOKUP(A43,saisie!B$7:AL$26,18,0)</f>
        <v>#N/A</v>
      </c>
      <c r="S43" s="133" t="e">
        <f>VLOOKUP(A43,saisie!B$7:AL$26,19,0)</f>
        <v>#N/A</v>
      </c>
      <c r="T43" s="137" t="e">
        <f>VLOOKUP(A43,saisie!B$7:AL$26,20,0)</f>
        <v>#N/A</v>
      </c>
      <c r="U43" s="138" t="e">
        <f>VLOOKUP(A43,saisie!B$7:AL$26,21,0)</f>
        <v>#N/A</v>
      </c>
      <c r="V43" s="136" t="e">
        <f>VLOOKUP(A43,saisie!B$7:AL$26,22,0)</f>
        <v>#N/A</v>
      </c>
      <c r="W43" s="133" t="e">
        <f>VLOOKUP(A43,saisie!B$7:AL$26,23,0)</f>
        <v>#N/A</v>
      </c>
      <c r="X43" s="133" t="e">
        <f>VLOOKUP(A43,saisie!B$7:AL$26,24,0)</f>
        <v>#N/A</v>
      </c>
      <c r="Y43" s="133" t="e">
        <f>VLOOKUP(A43,saisie!B$7:AL$26,25,0)</f>
        <v>#N/A</v>
      </c>
      <c r="Z43" s="137" t="e">
        <f>VLOOKUP(A43,saisie!B$7:AL$26,26,0)</f>
        <v>#N/A</v>
      </c>
      <c r="AA43" s="138" t="e">
        <f>VLOOKUP(A43,saisie!B$7:AL$26,27,0)</f>
        <v>#N/A</v>
      </c>
      <c r="AB43" s="136" t="e">
        <f>VLOOKUP(A43,saisie!B$7:AL$26,28,0)</f>
        <v>#N/A</v>
      </c>
      <c r="AC43" s="133" t="e">
        <f>VLOOKUP(A43,saisie!B$7:AL$26,29,0)</f>
        <v>#N/A</v>
      </c>
      <c r="AD43" s="133" t="e">
        <f>VLOOKUP(A43,saisie!B$7:AL$26,30,0)</f>
        <v>#N/A</v>
      </c>
      <c r="AE43" s="133" t="e">
        <f>VLOOKUP(A43,saisie!B$7:AL$26,31,0)</f>
        <v>#N/A</v>
      </c>
      <c r="AF43" s="137" t="e">
        <f>VLOOKUP(A43,saisie!B$7:AL$26,32,0)</f>
        <v>#N/A</v>
      </c>
      <c r="AG43" s="138" t="e">
        <f>VLOOKUP(A43,saisie!B$7:AL$26,33,0)</f>
        <v>#N/A</v>
      </c>
      <c r="AH43" s="144" t="e">
        <f>VLOOKUP(A43,saisie!B$7:AL$26,34,0)</f>
        <v>#N/A</v>
      </c>
      <c r="AI43" s="140" t="e">
        <f>VLOOKUP(A43,saisie!B$7:AL$26,35,0)</f>
        <v>#N/A</v>
      </c>
      <c r="AJ43" s="141"/>
    </row>
    <row r="44" spans="1:36" s="142" customFormat="1" ht="108.75" customHeight="1">
      <c r="A44" s="143">
        <f>IF(INFO!B8&gt;37,38,"")</f>
      </c>
      <c r="B44" s="129" t="e">
        <f>VLOOKUP(A44,saisie!B$7:AL$26,2,0)</f>
        <v>#N/A</v>
      </c>
      <c r="C44" s="130" t="e">
        <f>VLOOKUP(A44,saisie!B$7:AL$26,3,0)</f>
        <v>#N/A</v>
      </c>
      <c r="D44" s="131" t="e">
        <f>VLOOKUP(A44,saisie!B$7:AL$26,4,0)</f>
        <v>#N/A</v>
      </c>
      <c r="E44" s="132" t="e">
        <f>VLOOKUP(A44,saisie!B$7:AL$26,5,0)</f>
        <v>#N/A</v>
      </c>
      <c r="F44" s="133" t="e">
        <f>VLOOKUP(A44,saisie!B$7:AL$26,6,0)</f>
        <v>#N/A</v>
      </c>
      <c r="G44" s="133" t="e">
        <f>VLOOKUP(A44,saisie!B$7:AL$26,7,0)</f>
        <v>#N/A</v>
      </c>
      <c r="H44" s="134" t="e">
        <f>VLOOKUP(A44,saisie!B$7:AL$26,8,0)</f>
        <v>#N/A</v>
      </c>
      <c r="I44" s="135" t="e">
        <f>VLOOKUP(A44,saisie!B$7:AL$26,9,0)</f>
        <v>#N/A</v>
      </c>
      <c r="J44" s="136" t="e">
        <f>VLOOKUP(A44,saisie!B$7:AL$26,10,0)</f>
        <v>#N/A</v>
      </c>
      <c r="K44" s="133" t="e">
        <f>VLOOKUP(A44,saisie!B$7:AL$26,11,0)</f>
        <v>#N/A</v>
      </c>
      <c r="L44" s="133" t="e">
        <f>VLOOKUP(A44,saisie!B$7:AL$26,12,0)</f>
        <v>#N/A</v>
      </c>
      <c r="M44" s="133" t="e">
        <f>VLOOKUP(A44,saisie!B$7:AL$26,13,0)</f>
        <v>#N/A</v>
      </c>
      <c r="N44" s="137" t="e">
        <f>VLOOKUP(A44,saisie!B$7:AL$26,14,0)</f>
        <v>#N/A</v>
      </c>
      <c r="O44" s="138" t="e">
        <f>VLOOKUP(A44,saisie!B$7:AL$26,15,0)</f>
        <v>#N/A</v>
      </c>
      <c r="P44" s="136" t="e">
        <f>VLOOKUP(A44,saisie!B$7:AL$26,16,0)</f>
        <v>#N/A</v>
      </c>
      <c r="Q44" s="133" t="e">
        <f>VLOOKUP(A44,saisie!B$7:AL$26,17,0)</f>
        <v>#N/A</v>
      </c>
      <c r="R44" s="133" t="e">
        <f>VLOOKUP(A44,saisie!B$7:AL$26,18,0)</f>
        <v>#N/A</v>
      </c>
      <c r="S44" s="133" t="e">
        <f>VLOOKUP(A44,saisie!B$7:AL$26,19,0)</f>
        <v>#N/A</v>
      </c>
      <c r="T44" s="137" t="e">
        <f>VLOOKUP(A44,saisie!B$7:AL$26,20,0)</f>
        <v>#N/A</v>
      </c>
      <c r="U44" s="138" t="e">
        <f>VLOOKUP(A44,saisie!B$7:AL$26,21,0)</f>
        <v>#N/A</v>
      </c>
      <c r="V44" s="136" t="e">
        <f>VLOOKUP(A44,saisie!B$7:AL$26,22,0)</f>
        <v>#N/A</v>
      </c>
      <c r="W44" s="133" t="e">
        <f>VLOOKUP(A44,saisie!B$7:AL$26,23,0)</f>
        <v>#N/A</v>
      </c>
      <c r="X44" s="133" t="e">
        <f>VLOOKUP(A44,saisie!B$7:AL$26,24,0)</f>
        <v>#N/A</v>
      </c>
      <c r="Y44" s="133" t="e">
        <f>VLOOKUP(A44,saisie!B$7:AL$26,25,0)</f>
        <v>#N/A</v>
      </c>
      <c r="Z44" s="137" t="e">
        <f>VLOOKUP(A44,saisie!B$7:AL$26,26,0)</f>
        <v>#N/A</v>
      </c>
      <c r="AA44" s="138" t="e">
        <f>VLOOKUP(A44,saisie!B$7:AL$26,27,0)</f>
        <v>#N/A</v>
      </c>
      <c r="AB44" s="136" t="e">
        <f>VLOOKUP(A44,saisie!B$7:AL$26,28,0)</f>
        <v>#N/A</v>
      </c>
      <c r="AC44" s="133" t="e">
        <f>VLOOKUP(A44,saisie!B$7:AL$26,29,0)</f>
        <v>#N/A</v>
      </c>
      <c r="AD44" s="133" t="e">
        <f>VLOOKUP(A44,saisie!B$7:AL$26,30,0)</f>
        <v>#N/A</v>
      </c>
      <c r="AE44" s="133" t="e">
        <f>VLOOKUP(A44,saisie!B$7:AL$26,31,0)</f>
        <v>#N/A</v>
      </c>
      <c r="AF44" s="137" t="e">
        <f>VLOOKUP(A44,saisie!B$7:AL$26,32,0)</f>
        <v>#N/A</v>
      </c>
      <c r="AG44" s="138" t="e">
        <f>VLOOKUP(A44,saisie!B$7:AL$26,33,0)</f>
        <v>#N/A</v>
      </c>
      <c r="AH44" s="144" t="e">
        <f>VLOOKUP(A44,saisie!B$7:AL$26,34,0)</f>
        <v>#N/A</v>
      </c>
      <c r="AI44" s="140" t="e">
        <f>VLOOKUP(A44,saisie!B$7:AL$26,35,0)</f>
        <v>#N/A</v>
      </c>
      <c r="AJ44" s="141"/>
    </row>
    <row r="45" spans="1:36" s="142" customFormat="1" ht="108.75" customHeight="1">
      <c r="A45" s="143">
        <f>IF(INFO!B8&gt;38,39,"")</f>
      </c>
      <c r="B45" s="129" t="e">
        <f>VLOOKUP(A45,saisie!B$7:AL$26,2,0)</f>
        <v>#N/A</v>
      </c>
      <c r="C45" s="130" t="e">
        <f>VLOOKUP(A45,saisie!B$7:AL$26,3,0)</f>
        <v>#N/A</v>
      </c>
      <c r="D45" s="131" t="e">
        <f>VLOOKUP(A45,saisie!B$7:AL$26,4,0)</f>
        <v>#N/A</v>
      </c>
      <c r="E45" s="132" t="e">
        <f>VLOOKUP(A45,saisie!B$7:AL$26,5,0)</f>
        <v>#N/A</v>
      </c>
      <c r="F45" s="133" t="e">
        <f>VLOOKUP(A45,saisie!B$7:AL$26,6,0)</f>
        <v>#N/A</v>
      </c>
      <c r="G45" s="133" t="e">
        <f>VLOOKUP(A45,saisie!B$7:AL$26,7,0)</f>
        <v>#N/A</v>
      </c>
      <c r="H45" s="134" t="e">
        <f>VLOOKUP(A45,saisie!B$7:AL$26,8,0)</f>
        <v>#N/A</v>
      </c>
      <c r="I45" s="135" t="e">
        <f>VLOOKUP(A45,saisie!B$7:AL$26,9,0)</f>
        <v>#N/A</v>
      </c>
      <c r="J45" s="136" t="e">
        <f>VLOOKUP(A45,saisie!B$7:AL$26,10,0)</f>
        <v>#N/A</v>
      </c>
      <c r="K45" s="133" t="e">
        <f>VLOOKUP(A45,saisie!B$7:AL$26,11,0)</f>
        <v>#N/A</v>
      </c>
      <c r="L45" s="133" t="e">
        <f>VLOOKUP(A45,saisie!B$7:AL$26,12,0)</f>
        <v>#N/A</v>
      </c>
      <c r="M45" s="133" t="e">
        <f>VLOOKUP(A45,saisie!B$7:AL$26,13,0)</f>
        <v>#N/A</v>
      </c>
      <c r="N45" s="137" t="e">
        <f>VLOOKUP(A45,saisie!B$7:AL$26,14,0)</f>
        <v>#N/A</v>
      </c>
      <c r="O45" s="138" t="e">
        <f>VLOOKUP(A45,saisie!B$7:AL$26,15,0)</f>
        <v>#N/A</v>
      </c>
      <c r="P45" s="136" t="e">
        <f>VLOOKUP(A45,saisie!B$7:AL$26,16,0)</f>
        <v>#N/A</v>
      </c>
      <c r="Q45" s="133" t="e">
        <f>VLOOKUP(A45,saisie!B$7:AL$26,17,0)</f>
        <v>#N/A</v>
      </c>
      <c r="R45" s="133" t="e">
        <f>VLOOKUP(A45,saisie!B$7:AL$26,18,0)</f>
        <v>#N/A</v>
      </c>
      <c r="S45" s="133" t="e">
        <f>VLOOKUP(A45,saisie!B$7:AL$26,19,0)</f>
        <v>#N/A</v>
      </c>
      <c r="T45" s="137" t="e">
        <f>VLOOKUP(A45,saisie!B$7:AL$26,20,0)</f>
        <v>#N/A</v>
      </c>
      <c r="U45" s="138" t="e">
        <f>VLOOKUP(A45,saisie!B$7:AL$26,21,0)</f>
        <v>#N/A</v>
      </c>
      <c r="V45" s="136" t="e">
        <f>VLOOKUP(A45,saisie!B$7:AL$26,22,0)</f>
        <v>#N/A</v>
      </c>
      <c r="W45" s="133" t="e">
        <f>VLOOKUP(A45,saisie!B$7:AL$26,23,0)</f>
        <v>#N/A</v>
      </c>
      <c r="X45" s="133" t="e">
        <f>VLOOKUP(A45,saisie!B$7:AL$26,24,0)</f>
        <v>#N/A</v>
      </c>
      <c r="Y45" s="133" t="e">
        <f>VLOOKUP(A45,saisie!B$7:AL$26,25,0)</f>
        <v>#N/A</v>
      </c>
      <c r="Z45" s="137" t="e">
        <f>VLOOKUP(A45,saisie!B$7:AL$26,26,0)</f>
        <v>#N/A</v>
      </c>
      <c r="AA45" s="138" t="e">
        <f>VLOOKUP(A45,saisie!B$7:AL$26,27,0)</f>
        <v>#N/A</v>
      </c>
      <c r="AB45" s="136" t="e">
        <f>VLOOKUP(A45,saisie!B$7:AL$26,28,0)</f>
        <v>#N/A</v>
      </c>
      <c r="AC45" s="133" t="e">
        <f>VLOOKUP(A45,saisie!B$7:AL$26,29,0)</f>
        <v>#N/A</v>
      </c>
      <c r="AD45" s="133" t="e">
        <f>VLOOKUP(A45,saisie!B$7:AL$26,30,0)</f>
        <v>#N/A</v>
      </c>
      <c r="AE45" s="133" t="e">
        <f>VLOOKUP(A45,saisie!B$7:AL$26,31,0)</f>
        <v>#N/A</v>
      </c>
      <c r="AF45" s="137" t="e">
        <f>VLOOKUP(A45,saisie!B$7:AL$26,32,0)</f>
        <v>#N/A</v>
      </c>
      <c r="AG45" s="138" t="e">
        <f>VLOOKUP(A45,saisie!B$7:AL$26,33,0)</f>
        <v>#N/A</v>
      </c>
      <c r="AH45" s="144" t="e">
        <f>VLOOKUP(A45,saisie!B$7:AL$26,34,0)</f>
        <v>#N/A</v>
      </c>
      <c r="AI45" s="140" t="e">
        <f>VLOOKUP(A45,saisie!B$7:AL$26,35,0)</f>
        <v>#N/A</v>
      </c>
      <c r="AJ45" s="141"/>
    </row>
    <row r="46" spans="1:36" s="142" customFormat="1" ht="108.75" customHeight="1">
      <c r="A46" s="145">
        <f>IF(INFO!B8&gt;39,40,"")</f>
      </c>
      <c r="B46" s="146" t="e">
        <f>VLOOKUP(A46,saisie!B$7:AL$26,2,0)</f>
        <v>#N/A</v>
      </c>
      <c r="C46" s="147" t="e">
        <f>VLOOKUP(A46,saisie!B$7:AL$26,3,0)</f>
        <v>#N/A</v>
      </c>
      <c r="D46" s="148" t="e">
        <f>VLOOKUP(A46,saisie!B$7:AL$26,4,0)</f>
        <v>#N/A</v>
      </c>
      <c r="E46" s="149" t="e">
        <f>VLOOKUP(A46,saisie!B$7:AL$26,5,0)</f>
        <v>#N/A</v>
      </c>
      <c r="F46" s="150" t="e">
        <f>VLOOKUP(A46,saisie!B$7:AL$26,6,0)</f>
        <v>#N/A</v>
      </c>
      <c r="G46" s="150" t="e">
        <f>VLOOKUP(A46,saisie!B$7:AL$26,7,0)</f>
        <v>#N/A</v>
      </c>
      <c r="H46" s="151" t="e">
        <f>VLOOKUP(A46,saisie!B$7:AL$26,8,0)</f>
        <v>#N/A</v>
      </c>
      <c r="I46" s="152" t="e">
        <f>VLOOKUP(A46,saisie!B$7:AL$26,9,0)</f>
        <v>#N/A</v>
      </c>
      <c r="J46" s="153" t="e">
        <f>VLOOKUP(A46,saisie!B$7:AL$26,10,0)</f>
        <v>#N/A</v>
      </c>
      <c r="K46" s="150" t="e">
        <f>VLOOKUP(A46,saisie!B$7:AL$26,11,0)</f>
        <v>#N/A</v>
      </c>
      <c r="L46" s="150" t="e">
        <f>VLOOKUP(A46,saisie!B$7:AL$26,12,0)</f>
        <v>#N/A</v>
      </c>
      <c r="M46" s="150" t="e">
        <f>VLOOKUP(A46,saisie!B$7:AL$26,13,0)</f>
        <v>#N/A</v>
      </c>
      <c r="N46" s="154" t="e">
        <f>VLOOKUP(A46,saisie!B$7:AL$26,14,0)</f>
        <v>#N/A</v>
      </c>
      <c r="O46" s="155" t="e">
        <f>VLOOKUP(A46,saisie!B$7:AL$26,15,0)</f>
        <v>#N/A</v>
      </c>
      <c r="P46" s="153" t="e">
        <f>VLOOKUP(A46,saisie!B$7:AL$26,16,0)</f>
        <v>#N/A</v>
      </c>
      <c r="Q46" s="150" t="e">
        <f>VLOOKUP(A46,saisie!B$7:AL$26,17,0)</f>
        <v>#N/A</v>
      </c>
      <c r="R46" s="150" t="e">
        <f>VLOOKUP(A46,saisie!B$7:AL$26,18,0)</f>
        <v>#N/A</v>
      </c>
      <c r="S46" s="150" t="e">
        <f>VLOOKUP(A46,saisie!B$7:AL$26,19,0)</f>
        <v>#N/A</v>
      </c>
      <c r="T46" s="154" t="e">
        <f>VLOOKUP(A46,saisie!B$7:AL$26,20,0)</f>
        <v>#N/A</v>
      </c>
      <c r="U46" s="155" t="e">
        <f>VLOOKUP(A46,saisie!B$7:AL$26,21,0)</f>
        <v>#N/A</v>
      </c>
      <c r="V46" s="153" t="e">
        <f>VLOOKUP(A46,saisie!B$7:AL$26,22,0)</f>
        <v>#N/A</v>
      </c>
      <c r="W46" s="150" t="e">
        <f>VLOOKUP(A46,saisie!B$7:AL$26,23,0)</f>
        <v>#N/A</v>
      </c>
      <c r="X46" s="150" t="e">
        <f>VLOOKUP(A46,saisie!B$7:AL$26,24,0)</f>
        <v>#N/A</v>
      </c>
      <c r="Y46" s="150" t="e">
        <f>VLOOKUP(A46,saisie!B$7:AL$26,25,0)</f>
        <v>#N/A</v>
      </c>
      <c r="Z46" s="154" t="e">
        <f>VLOOKUP(A46,saisie!B$7:AL$26,26,0)</f>
        <v>#N/A</v>
      </c>
      <c r="AA46" s="155" t="e">
        <f>VLOOKUP(A46,saisie!B$7:AL$26,27,0)</f>
        <v>#N/A</v>
      </c>
      <c r="AB46" s="153" t="e">
        <f>VLOOKUP(A46,saisie!B$7:AL$26,28,0)</f>
        <v>#N/A</v>
      </c>
      <c r="AC46" s="150" t="e">
        <f>VLOOKUP(A46,saisie!B$7:AL$26,29,0)</f>
        <v>#N/A</v>
      </c>
      <c r="AD46" s="150" t="e">
        <f>VLOOKUP(A46,saisie!B$7:AL$26,30,0)</f>
        <v>#N/A</v>
      </c>
      <c r="AE46" s="150" t="e">
        <f>VLOOKUP(A46,saisie!B$7:AL$26,31,0)</f>
        <v>#N/A</v>
      </c>
      <c r="AF46" s="154" t="e">
        <f>VLOOKUP(A46,saisie!B$7:AL$26,32,0)</f>
        <v>#N/A</v>
      </c>
      <c r="AG46" s="155" t="e">
        <f>VLOOKUP(A46,saisie!B$7:AL$26,33,0)</f>
        <v>#N/A</v>
      </c>
      <c r="AH46" s="156" t="e">
        <f>VLOOKUP(A46,saisie!B$7:AL$26,34,0)</f>
        <v>#N/A</v>
      </c>
      <c r="AI46" s="157" t="e">
        <f>VLOOKUP(A46,saisie!B$7:AL$26,35,0)</f>
        <v>#N/A</v>
      </c>
      <c r="AJ46" s="141"/>
    </row>
  </sheetData>
  <sheetProtection selectLockedCells="1" selectUnlockedCells="1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7:A13 A15:A45">
    <cfRule type="expression" priority="1" dxfId="0" stopIfTrue="1">
      <formula>LEN(TRIM(A7))=0</formula>
    </cfRule>
  </conditionalFormatting>
  <conditionalFormatting sqref="A14">
    <cfRule type="expression" priority="2" dxfId="0" stopIfTrue="1">
      <formula>LEN(TRIM(A14))=0</formula>
    </cfRule>
  </conditionalFormatting>
  <conditionalFormatting sqref="A46">
    <cfRule type="expression" priority="3" dxfId="0" stopIfTrue="1">
      <formula>LEN(TRIM(A46))=0</formula>
    </cfRule>
  </conditionalFormatting>
  <conditionalFormatting sqref="B7:AI13 B15:AD46 AE16:AE46 AF15:AI46">
    <cfRule type="cellIs" priority="4" dxfId="0" operator="equal" stopIfTrue="1">
      <formula>0</formula>
    </cfRule>
    <cfRule type="expression" priority="5" dxfId="0" stopIfTrue="1">
      <formula>ISERROR(B7)</formula>
    </cfRule>
  </conditionalFormatting>
  <conditionalFormatting sqref="B14:AD14 AE14:AE15 AF14:AI14">
    <cfRule type="cellIs" priority="6" dxfId="0" operator="equal" stopIfTrue="1">
      <formula>0</formula>
    </cfRule>
    <cfRule type="expression" priority="7" dxfId="0" stopIfTrue="1">
      <formula>ISERROR(B14)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4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8" zoomScaleNormal="88" zoomScaleSheetLayoutView="100" workbookViewId="0" topLeftCell="A1">
      <selection activeCell="D36" sqref="D36"/>
    </sheetView>
  </sheetViews>
  <sheetFormatPr defaultColWidth="8.00390625" defaultRowHeight="12.75"/>
  <cols>
    <col min="1" max="1" width="17.57421875" style="158" customWidth="1"/>
    <col min="2" max="2" width="29.421875" style="158" customWidth="1"/>
    <col min="3" max="5" width="9.8515625" style="158" customWidth="1"/>
    <col min="6" max="7" width="9.7109375" style="158" customWidth="1"/>
    <col min="8" max="8" width="4.140625" style="158" customWidth="1"/>
    <col min="9" max="9" width="17.57421875" style="158" customWidth="1"/>
    <col min="10" max="10" width="29.421875" style="158" customWidth="1"/>
    <col min="11" max="13" width="9.8515625" style="158" customWidth="1"/>
    <col min="14" max="14" width="9.7109375" style="158" customWidth="1"/>
    <col min="15" max="15" width="6.421875" style="158" customWidth="1"/>
    <col min="16" max="16384" width="7.8515625" style="158" customWidth="1"/>
  </cols>
  <sheetData>
    <row r="1" spans="1:15" ht="21.75" customHeight="1">
      <c r="A1" s="159"/>
      <c r="B1" s="160" t="s">
        <v>60</v>
      </c>
      <c r="C1" s="159" t="str">
        <f>'M Q'!B7</f>
        <v>LA MOUCHE REMILLY</v>
      </c>
      <c r="D1" s="159"/>
      <c r="E1" s="159"/>
      <c r="F1" s="159">
        <f>'M Q'!AH7</f>
        <v>1447.9</v>
      </c>
      <c r="G1" s="159"/>
      <c r="H1" s="161"/>
      <c r="I1" s="162"/>
      <c r="J1" s="160">
        <f>IF(INFO!B8&gt;7,"CLUB N°8","")</f>
      </c>
      <c r="K1" s="159" t="e">
        <f>'M Q'!B14</f>
        <v>#N/A</v>
      </c>
      <c r="L1" s="159"/>
      <c r="M1" s="159"/>
      <c r="N1" s="159" t="e">
        <f>'M Q'!AH14</f>
        <v>#N/A</v>
      </c>
      <c r="O1" s="160"/>
    </row>
    <row r="2" spans="1:15" ht="21.75" customHeight="1">
      <c r="A2" s="160"/>
      <c r="B2" s="160" t="s">
        <v>61</v>
      </c>
      <c r="C2" s="163" t="s">
        <v>62</v>
      </c>
      <c r="D2" s="163" t="s">
        <v>63</v>
      </c>
      <c r="E2" s="163" t="s">
        <v>64</v>
      </c>
      <c r="F2" s="160" t="s">
        <v>65</v>
      </c>
      <c r="G2" s="160"/>
      <c r="H2" s="161"/>
      <c r="I2" s="160"/>
      <c r="J2" s="160" t="s">
        <v>61</v>
      </c>
      <c r="K2" s="163" t="s">
        <v>62</v>
      </c>
      <c r="L2" s="163" t="s">
        <v>63</v>
      </c>
      <c r="M2" s="163" t="s">
        <v>64</v>
      </c>
      <c r="N2" s="160" t="s">
        <v>65</v>
      </c>
      <c r="O2" s="160"/>
    </row>
    <row r="3" spans="1:15" ht="21.75" customHeight="1">
      <c r="A3" s="164">
        <f aca="true" t="shared" si="0" ref="A3:A7">F3+0.0001*G3+0.0000001*E3+0.0000000001*D3</f>
        <v>279.60000892956003</v>
      </c>
      <c r="B3" s="160" t="str">
        <f>'M Q'!D7</f>
        <v>BISTON Mélissa</v>
      </c>
      <c r="C3" s="159">
        <f>'M Q'!E7</f>
        <v>94.8</v>
      </c>
      <c r="D3" s="159">
        <f>'M Q'!F7</f>
        <v>95.6</v>
      </c>
      <c r="E3" s="159">
        <f>'M Q'!G7</f>
        <v>89.2</v>
      </c>
      <c r="F3" s="159">
        <f>'M Q'!H7</f>
        <v>279.6</v>
      </c>
      <c r="G3" s="159">
        <f>'M Q'!I7</f>
        <v>0</v>
      </c>
      <c r="H3" s="161"/>
      <c r="I3" s="164" t="e">
        <f aca="true" t="shared" si="1" ref="I3:I7">N3+0.0001*O3+0.0000001*M3+0.0000000001*L3</f>
        <v>#N/A</v>
      </c>
      <c r="J3" s="160" t="e">
        <f>'M Q'!D14</f>
        <v>#N/A</v>
      </c>
      <c r="K3" s="160" t="e">
        <f>'M Q'!E14</f>
        <v>#N/A</v>
      </c>
      <c r="L3" s="160" t="e">
        <f>'M Q'!F14</f>
        <v>#N/A</v>
      </c>
      <c r="M3" s="160" t="e">
        <f>'M Q'!G14</f>
        <v>#N/A</v>
      </c>
      <c r="N3" s="160" t="e">
        <f>'M Q'!H14</f>
        <v>#N/A</v>
      </c>
      <c r="O3" s="160" t="e">
        <f>'M Q'!I14</f>
        <v>#N/A</v>
      </c>
    </row>
    <row r="4" spans="1:15" ht="21.75" customHeight="1">
      <c r="A4" s="164">
        <f t="shared" si="0"/>
        <v>298.60000987982</v>
      </c>
      <c r="B4" s="160" t="str">
        <f>'M Q'!J7</f>
        <v>GOHLKE Alexandra</v>
      </c>
      <c r="C4" s="159">
        <f>'M Q'!K7</f>
        <v>101.7</v>
      </c>
      <c r="D4" s="159">
        <f>'M Q'!L7</f>
        <v>98.2</v>
      </c>
      <c r="E4" s="159">
        <f>'M Q'!M7</f>
        <v>98.7</v>
      </c>
      <c r="F4" s="159">
        <f>'M Q'!N7</f>
        <v>298.6</v>
      </c>
      <c r="G4" s="159">
        <f>'M Q'!O7</f>
        <v>0</v>
      </c>
      <c r="H4" s="161"/>
      <c r="I4" s="164" t="e">
        <f t="shared" si="1"/>
        <v>#N/A</v>
      </c>
      <c r="J4" s="160" t="e">
        <f>'M Q'!J14</f>
        <v>#N/A</v>
      </c>
      <c r="K4" s="160" t="e">
        <f>'M Q'!K14</f>
        <v>#N/A</v>
      </c>
      <c r="L4" s="160" t="e">
        <f>'M Q'!L14</f>
        <v>#N/A</v>
      </c>
      <c r="M4" s="160" t="e">
        <f>'M Q'!M14</f>
        <v>#N/A</v>
      </c>
      <c r="N4" s="160" t="e">
        <f>'M Q'!N14</f>
        <v>#N/A</v>
      </c>
      <c r="O4" s="160" t="e">
        <f>'M Q'!O14</f>
        <v>#N/A</v>
      </c>
    </row>
    <row r="5" spans="1:15" ht="21.75" customHeight="1">
      <c r="A5" s="164">
        <f t="shared" si="0"/>
        <v>268.70000848916</v>
      </c>
      <c r="B5" s="160" t="str">
        <f>'M Q'!P7</f>
        <v>MORGEON Christelle</v>
      </c>
      <c r="C5" s="159">
        <f>'M Q'!Q7</f>
        <v>92.3</v>
      </c>
      <c r="D5" s="159">
        <f>'M Q'!R7</f>
        <v>91.6</v>
      </c>
      <c r="E5" s="159">
        <f>'M Q'!S7</f>
        <v>84.8</v>
      </c>
      <c r="F5" s="159">
        <f>'M Q'!T7</f>
        <v>268.7</v>
      </c>
      <c r="G5" s="159">
        <f>'M Q'!U7</f>
        <v>0</v>
      </c>
      <c r="H5" s="161"/>
      <c r="I5" s="164" t="e">
        <f t="shared" si="1"/>
        <v>#N/A</v>
      </c>
      <c r="J5" s="160" t="e">
        <f>'M Q'!P14</f>
        <v>#N/A</v>
      </c>
      <c r="K5" s="160" t="e">
        <f>'M Q'!Q14</f>
        <v>#N/A</v>
      </c>
      <c r="L5" s="160" t="e">
        <f>'M Q'!R14</f>
        <v>#N/A</v>
      </c>
      <c r="M5" s="160" t="e">
        <f>'M Q'!S14</f>
        <v>#N/A</v>
      </c>
      <c r="N5" s="160" t="e">
        <f>'M Q'!T14</f>
        <v>#N/A</v>
      </c>
      <c r="O5" s="160" t="e">
        <f>'M Q'!U14</f>
        <v>#N/A</v>
      </c>
    </row>
    <row r="6" spans="1:15" ht="21.75" customHeight="1">
      <c r="A6" s="164">
        <f t="shared" si="0"/>
        <v>298.00000965989</v>
      </c>
      <c r="B6" s="160" t="str">
        <f>'M Q'!V7</f>
        <v>COUSTEIX Crystale</v>
      </c>
      <c r="C6" s="159">
        <f>'M Q'!W7</f>
        <v>102.6</v>
      </c>
      <c r="D6" s="159">
        <f>'M Q'!X7</f>
        <v>98.9</v>
      </c>
      <c r="E6" s="159">
        <f>'M Q'!Y7</f>
        <v>96.5</v>
      </c>
      <c r="F6" s="159">
        <f>'M Q'!Z7</f>
        <v>298</v>
      </c>
      <c r="G6" s="159">
        <f>'M Q'!AA7</f>
        <v>0</v>
      </c>
      <c r="H6" s="161"/>
      <c r="I6" s="164" t="e">
        <f t="shared" si="1"/>
        <v>#N/A</v>
      </c>
      <c r="J6" s="160" t="e">
        <f>'M Q'!V14</f>
        <v>#N/A</v>
      </c>
      <c r="K6" s="160" t="e">
        <f>'M Q'!W14</f>
        <v>#N/A</v>
      </c>
      <c r="L6" s="160" t="e">
        <f>'M Q'!X14</f>
        <v>#N/A</v>
      </c>
      <c r="M6" s="160" t="e">
        <f>'M Q'!Y14</f>
        <v>#N/A</v>
      </c>
      <c r="N6" s="160" t="e">
        <f>'M Q'!Z14</f>
        <v>#N/A</v>
      </c>
      <c r="O6" s="160" t="e">
        <f>'M Q'!AA14</f>
        <v>#N/A</v>
      </c>
    </row>
    <row r="7" spans="1:15" ht="21.75" customHeight="1">
      <c r="A7" s="164">
        <f t="shared" si="0"/>
        <v>303.00000985026</v>
      </c>
      <c r="B7" s="160" t="str">
        <f>'M Q'!AB7</f>
        <v>ETIENNE Doreen</v>
      </c>
      <c r="C7" s="159">
        <f>'M Q'!AC7</f>
        <v>102</v>
      </c>
      <c r="D7" s="159">
        <f>'M Q'!AD7</f>
        <v>102.6</v>
      </c>
      <c r="E7" s="159">
        <f>'M Q'!AE7</f>
        <v>98.4</v>
      </c>
      <c r="F7" s="159">
        <f>'M Q'!AF7</f>
        <v>303</v>
      </c>
      <c r="G7" s="159">
        <f>'M Q'!AG7</f>
        <v>0</v>
      </c>
      <c r="H7" s="161"/>
      <c r="I7" s="164" t="e">
        <f t="shared" si="1"/>
        <v>#N/A</v>
      </c>
      <c r="J7" s="160" t="e">
        <f>'M Q'!AB14</f>
        <v>#N/A</v>
      </c>
      <c r="K7" s="160" t="e">
        <f>'M Q'!AC14</f>
        <v>#N/A</v>
      </c>
      <c r="L7" s="160" t="e">
        <f>'M Q'!AD14</f>
        <v>#N/A</v>
      </c>
      <c r="M7" s="160" t="e">
        <f>'M Q'!AE14</f>
        <v>#N/A</v>
      </c>
      <c r="N7" s="160" t="e">
        <f>'M Q'!AF14</f>
        <v>#N/A</v>
      </c>
      <c r="O7" s="160" t="e">
        <f>'M Q'!AG14</f>
        <v>#N/A</v>
      </c>
    </row>
    <row r="8" spans="1:15" ht="21.75" customHeight="1">
      <c r="A8" s="165"/>
      <c r="B8" s="161"/>
      <c r="C8" s="161"/>
      <c r="D8" s="161"/>
      <c r="E8" s="161"/>
      <c r="F8" s="161"/>
      <c r="G8" s="161"/>
      <c r="H8" s="161"/>
      <c r="I8" s="165"/>
      <c r="J8" s="161"/>
      <c r="K8" s="161"/>
      <c r="L8" s="161"/>
      <c r="M8" s="161"/>
      <c r="N8" s="161"/>
      <c r="O8" s="161"/>
    </row>
    <row r="9" spans="1:15" ht="21.75" customHeight="1">
      <c r="A9" s="159"/>
      <c r="B9" s="160" t="s">
        <v>66</v>
      </c>
      <c r="C9" s="160" t="str">
        <f>'M Q'!B8</f>
        <v>EAC THIN-LE-MOUTIER</v>
      </c>
      <c r="D9" s="160"/>
      <c r="E9" s="160"/>
      <c r="F9" s="159">
        <f>'M Q'!AH8</f>
        <v>1434.1999999999998</v>
      </c>
      <c r="G9" s="159"/>
      <c r="H9" s="161"/>
      <c r="I9" s="159"/>
      <c r="J9" s="160">
        <f>IF(INFO!B8&gt;6,"CLUB N°7","")</f>
      </c>
      <c r="K9" s="160" t="e">
        <f>'M Q'!B13</f>
        <v>#N/A</v>
      </c>
      <c r="L9" s="160"/>
      <c r="M9" s="160"/>
      <c r="N9" s="159" t="e">
        <f>'M Q'!AH13</f>
        <v>#N/A</v>
      </c>
      <c r="O9" s="160"/>
    </row>
    <row r="10" spans="1:15" ht="21.75" customHeight="1">
      <c r="A10" s="160"/>
      <c r="B10" s="160" t="s">
        <v>61</v>
      </c>
      <c r="C10" s="163" t="s">
        <v>62</v>
      </c>
      <c r="D10" s="163" t="s">
        <v>63</v>
      </c>
      <c r="E10" s="163" t="s">
        <v>64</v>
      </c>
      <c r="F10" s="160" t="s">
        <v>65</v>
      </c>
      <c r="G10" s="160"/>
      <c r="H10" s="161"/>
      <c r="I10" s="160"/>
      <c r="J10" s="160" t="s">
        <v>61</v>
      </c>
      <c r="K10" s="163" t="s">
        <v>62</v>
      </c>
      <c r="L10" s="163" t="s">
        <v>63</v>
      </c>
      <c r="M10" s="163" t="s">
        <v>64</v>
      </c>
      <c r="N10" s="160" t="s">
        <v>65</v>
      </c>
      <c r="O10" s="160"/>
    </row>
    <row r="11" spans="1:15" ht="21.75" customHeight="1">
      <c r="A11" s="164">
        <f aca="true" t="shared" si="2" ref="A11:A15">F11+0.0001*G11+0.0000001*E11+0.0000000001*D11</f>
        <v>292.80000966021</v>
      </c>
      <c r="B11" s="160" t="str">
        <f>'M Q'!D8</f>
        <v>BOCQUET Corentin</v>
      </c>
      <c r="C11" s="159">
        <f>'M Q'!E8</f>
        <v>94.2</v>
      </c>
      <c r="D11" s="159">
        <f>'M Q'!F8</f>
        <v>102.1</v>
      </c>
      <c r="E11" s="159">
        <f>'M Q'!G8</f>
        <v>96.5</v>
      </c>
      <c r="F11" s="159">
        <f>'M Q'!H8</f>
        <v>292.8</v>
      </c>
      <c r="G11" s="159">
        <f>'M Q'!I8</f>
        <v>0</v>
      </c>
      <c r="H11" s="161"/>
      <c r="I11" s="164" t="e">
        <f aca="true" t="shared" si="3" ref="I11:I15">N11+0.0001*O11+0.0000001*M11+0.0000000001*L11</f>
        <v>#N/A</v>
      </c>
      <c r="J11" s="160" t="e">
        <f>'M Q'!D13</f>
        <v>#N/A</v>
      </c>
      <c r="K11" s="160" t="e">
        <f>'M Q'!E13</f>
        <v>#N/A</v>
      </c>
      <c r="L11" s="160" t="e">
        <f>'M Q'!F13</f>
        <v>#N/A</v>
      </c>
      <c r="M11" s="160" t="e">
        <f>'M Q'!G13</f>
        <v>#N/A</v>
      </c>
      <c r="N11" s="160" t="e">
        <f>'M Q'!H13</f>
        <v>#N/A</v>
      </c>
      <c r="O11" s="160" t="e">
        <f>'M Q'!I13</f>
        <v>#N/A</v>
      </c>
    </row>
    <row r="12" spans="1:15" ht="21.75" customHeight="1">
      <c r="A12" s="164">
        <f t="shared" si="2"/>
        <v>282.50000949966005</v>
      </c>
      <c r="B12" s="160" t="str">
        <f>'M Q'!J8</f>
        <v>LESIEUR Christophe</v>
      </c>
      <c r="C12" s="159">
        <f>'M Q'!K8</f>
        <v>91</v>
      </c>
      <c r="D12" s="159">
        <f>'M Q'!L8</f>
        <v>96.6</v>
      </c>
      <c r="E12" s="159">
        <f>'M Q'!M8</f>
        <v>94.9</v>
      </c>
      <c r="F12" s="159">
        <f>'M Q'!N8</f>
        <v>282.5</v>
      </c>
      <c r="G12" s="159">
        <f>'M Q'!O8</f>
        <v>0</v>
      </c>
      <c r="H12" s="161"/>
      <c r="I12" s="164" t="e">
        <f t="shared" si="3"/>
        <v>#N/A</v>
      </c>
      <c r="J12" s="160" t="e">
        <f>'M Q'!J13</f>
        <v>#N/A</v>
      </c>
      <c r="K12" s="160" t="e">
        <f>'M Q'!K13</f>
        <v>#N/A</v>
      </c>
      <c r="L12" s="160" t="e">
        <f>'M Q'!L13</f>
        <v>#N/A</v>
      </c>
      <c r="M12" s="160" t="e">
        <f>'M Q'!M13</f>
        <v>#N/A</v>
      </c>
      <c r="N12" s="160" t="e">
        <f>'M Q'!N13</f>
        <v>#N/A</v>
      </c>
      <c r="O12" s="160" t="e">
        <f>'M Q'!O13</f>
        <v>#N/A</v>
      </c>
    </row>
    <row r="13" spans="1:15" ht="21.75" customHeight="1">
      <c r="A13" s="164">
        <f t="shared" si="2"/>
        <v>277.40000972925</v>
      </c>
      <c r="B13" s="160" t="str">
        <f>'M Q'!P8</f>
        <v>BROUSMICHE Lucas</v>
      </c>
      <c r="C13" s="159">
        <f>'M Q'!Q8</f>
        <v>87.7</v>
      </c>
      <c r="D13" s="159">
        <f>'M Q'!R8</f>
        <v>92.5</v>
      </c>
      <c r="E13" s="159">
        <f>'M Q'!S8</f>
        <v>97.2</v>
      </c>
      <c r="F13" s="159">
        <f>'M Q'!T8</f>
        <v>277.4</v>
      </c>
      <c r="G13" s="159">
        <f>'M Q'!U8</f>
        <v>0</v>
      </c>
      <c r="H13" s="161"/>
      <c r="I13" s="164" t="e">
        <f t="shared" si="3"/>
        <v>#N/A</v>
      </c>
      <c r="J13" s="160" t="e">
        <f>'M Q'!P13</f>
        <v>#N/A</v>
      </c>
      <c r="K13" s="160" t="e">
        <f>'M Q'!Q13</f>
        <v>#N/A</v>
      </c>
      <c r="L13" s="160" t="e">
        <f>'M Q'!R13</f>
        <v>#N/A</v>
      </c>
      <c r="M13" s="160" t="e">
        <f>'M Q'!S13</f>
        <v>#N/A</v>
      </c>
      <c r="N13" s="160" t="e">
        <f>'M Q'!T13</f>
        <v>#N/A</v>
      </c>
      <c r="O13" s="160" t="e">
        <f>'M Q'!U13</f>
        <v>#N/A</v>
      </c>
    </row>
    <row r="14" spans="1:15" ht="21.75" customHeight="1">
      <c r="A14" s="164">
        <f t="shared" si="2"/>
        <v>295.40000995993995</v>
      </c>
      <c r="B14" s="160" t="str">
        <f>'M Q'!V8</f>
        <v>LESIEUR Jules</v>
      </c>
      <c r="C14" s="159">
        <f>'M Q'!W8</f>
        <v>96.5</v>
      </c>
      <c r="D14" s="159">
        <f>'M Q'!X8</f>
        <v>99.4</v>
      </c>
      <c r="E14" s="159">
        <f>'M Q'!Y8</f>
        <v>99.5</v>
      </c>
      <c r="F14" s="159">
        <f>'M Q'!Z8</f>
        <v>295.4</v>
      </c>
      <c r="G14" s="159">
        <f>'M Q'!AA8</f>
        <v>0</v>
      </c>
      <c r="H14" s="161"/>
      <c r="I14" s="164" t="e">
        <f t="shared" si="3"/>
        <v>#N/A</v>
      </c>
      <c r="J14" s="160" t="e">
        <f>'M Q'!V13</f>
        <v>#N/A</v>
      </c>
      <c r="K14" s="160" t="e">
        <f>'M Q'!W13</f>
        <v>#N/A</v>
      </c>
      <c r="L14" s="160" t="e">
        <f>'M Q'!X13</f>
        <v>#N/A</v>
      </c>
      <c r="M14" s="160" t="e">
        <f>'M Q'!Y13</f>
        <v>#N/A</v>
      </c>
      <c r="N14" s="160" t="e">
        <f>'M Q'!Z13</f>
        <v>#N/A</v>
      </c>
      <c r="O14" s="160" t="e">
        <f>'M Q'!AA13</f>
        <v>#N/A</v>
      </c>
    </row>
    <row r="15" spans="1:15" ht="21.75" customHeight="1">
      <c r="A15" s="164">
        <f t="shared" si="2"/>
        <v>286.10000903951</v>
      </c>
      <c r="B15" s="160" t="str">
        <f>'M Q'!AB8</f>
        <v>QUIMPER Meryn</v>
      </c>
      <c r="C15" s="159">
        <f>'M Q'!AC8</f>
        <v>100.7</v>
      </c>
      <c r="D15" s="159">
        <f>'M Q'!AD8</f>
        <v>95.1</v>
      </c>
      <c r="E15" s="159">
        <f>'M Q'!AE8</f>
        <v>90.3</v>
      </c>
      <c r="F15" s="159">
        <f>'M Q'!AF8</f>
        <v>286.09999999999997</v>
      </c>
      <c r="G15" s="159">
        <f>'M Q'!AG8</f>
        <v>0</v>
      </c>
      <c r="H15" s="161"/>
      <c r="I15" s="164" t="e">
        <f t="shared" si="3"/>
        <v>#N/A</v>
      </c>
      <c r="J15" s="160" t="e">
        <f>'M Q'!AB13</f>
        <v>#N/A</v>
      </c>
      <c r="K15" s="160" t="e">
        <f>'M Q'!AC13</f>
        <v>#N/A</v>
      </c>
      <c r="L15" s="160" t="e">
        <f>'M Q'!AD13</f>
        <v>#N/A</v>
      </c>
      <c r="M15" s="160" t="e">
        <f>'M Q'!AE13</f>
        <v>#N/A</v>
      </c>
      <c r="N15" s="160" t="e">
        <f>'M Q'!AF13</f>
        <v>#N/A</v>
      </c>
      <c r="O15" s="160" t="e">
        <f>'M Q'!AG13</f>
        <v>#N/A</v>
      </c>
    </row>
    <row r="16" spans="1:15" ht="21.75" customHeight="1">
      <c r="A16" s="165"/>
      <c r="B16" s="161"/>
      <c r="C16" s="161"/>
      <c r="D16" s="161"/>
      <c r="E16" s="161"/>
      <c r="F16" s="161"/>
      <c r="G16" s="161"/>
      <c r="H16" s="161"/>
      <c r="I16" s="165"/>
      <c r="J16" s="161"/>
      <c r="K16" s="161"/>
      <c r="L16" s="161"/>
      <c r="M16" s="161"/>
      <c r="N16" s="161"/>
      <c r="O16" s="161"/>
    </row>
    <row r="17" spans="1:15" ht="21.75" customHeight="1">
      <c r="A17" s="159"/>
      <c r="B17" s="160" t="str">
        <f>IF(INFO!B8&gt;2,"CLUB N°3","")</f>
        <v>CLUB N°3</v>
      </c>
      <c r="C17" s="160" t="str">
        <f>'M Q'!B9</f>
        <v>USTIR CHARLEVILLE</v>
      </c>
      <c r="D17" s="160"/>
      <c r="E17" s="160"/>
      <c r="F17" s="159">
        <f>'M Q'!AH9</f>
        <v>1308.4</v>
      </c>
      <c r="G17" s="159"/>
      <c r="H17" s="161"/>
      <c r="I17" s="159"/>
      <c r="J17" s="160">
        <f>IF(INFO!B8&gt;5,"CLUB N°6","")</f>
      </c>
      <c r="K17" s="160">
        <f>'M Q'!B12</f>
        <v>0</v>
      </c>
      <c r="L17" s="160"/>
      <c r="M17" s="160"/>
      <c r="N17" s="159">
        <f>'M Q'!AH12</f>
        <v>0</v>
      </c>
      <c r="O17" s="160"/>
    </row>
    <row r="18" spans="1:15" ht="21.75" customHeight="1">
      <c r="A18" s="160"/>
      <c r="B18" s="160" t="s">
        <v>61</v>
      </c>
      <c r="C18" s="163" t="s">
        <v>62</v>
      </c>
      <c r="D18" s="163" t="s">
        <v>63</v>
      </c>
      <c r="E18" s="163" t="s">
        <v>64</v>
      </c>
      <c r="F18" s="160" t="s">
        <v>65</v>
      </c>
      <c r="G18" s="160"/>
      <c r="H18" s="161"/>
      <c r="I18" s="160"/>
      <c r="J18" s="160" t="s">
        <v>61</v>
      </c>
      <c r="K18" s="163" t="s">
        <v>62</v>
      </c>
      <c r="L18" s="163" t="s">
        <v>63</v>
      </c>
      <c r="M18" s="163" t="s">
        <v>64</v>
      </c>
      <c r="N18" s="160" t="s">
        <v>65</v>
      </c>
      <c r="O18" s="160"/>
    </row>
    <row r="19" spans="1:15" ht="21.75" customHeight="1">
      <c r="A19" s="166">
        <f aca="true" t="shared" si="4" ref="A19:A23">F19+0.0001*G19+0.0000001*E19+0.0000000001*D19</f>
        <v>286.40000951935997</v>
      </c>
      <c r="B19" s="160" t="str">
        <f>'M Q'!D9</f>
        <v>VERDURE Valentine</v>
      </c>
      <c r="C19" s="159">
        <f>'M Q'!E9</f>
        <v>97.7</v>
      </c>
      <c r="D19" s="159">
        <f>'M Q'!F9</f>
        <v>93.6</v>
      </c>
      <c r="E19" s="159">
        <f>'M Q'!G9</f>
        <v>95.1</v>
      </c>
      <c r="F19" s="159">
        <f>'M Q'!H9</f>
        <v>286.4</v>
      </c>
      <c r="G19" s="159">
        <f>'M Q'!I9</f>
        <v>0</v>
      </c>
      <c r="H19" s="161"/>
      <c r="I19" s="164">
        <f aca="true" t="shared" si="5" ref="I19:I23">N19+0.0001*O19+0.0000001*M19+0.0000000001*L19</f>
        <v>0</v>
      </c>
      <c r="J19" s="160">
        <f>'M Q'!D12</f>
        <v>0</v>
      </c>
      <c r="K19" s="160">
        <f>'M Q'!E12</f>
        <v>0</v>
      </c>
      <c r="L19" s="160">
        <f>'M Q'!F12</f>
        <v>0</v>
      </c>
      <c r="M19" s="160">
        <f>'M Q'!G12</f>
        <v>0</v>
      </c>
      <c r="N19" s="160">
        <f>'M Q'!H12</f>
        <v>0</v>
      </c>
      <c r="O19" s="160">
        <f>'M Q'!I12</f>
        <v>0</v>
      </c>
    </row>
    <row r="20" spans="1:15" ht="21.75" customHeight="1">
      <c r="A20" s="166">
        <f t="shared" si="4"/>
        <v>270.8000094488</v>
      </c>
      <c r="B20" s="160" t="str">
        <f>'M Q'!J9</f>
        <v>GOURIET Nicolas</v>
      </c>
      <c r="C20" s="159">
        <f>'M Q'!K9</f>
        <v>88.4</v>
      </c>
      <c r="D20" s="159">
        <f>'M Q'!L9</f>
        <v>88</v>
      </c>
      <c r="E20" s="159">
        <f>'M Q'!M9</f>
        <v>94.4</v>
      </c>
      <c r="F20" s="159">
        <f>'M Q'!N9</f>
        <v>270.8</v>
      </c>
      <c r="G20" s="159">
        <f>'M Q'!O9</f>
        <v>0</v>
      </c>
      <c r="H20" s="161"/>
      <c r="I20" s="164">
        <f t="shared" si="5"/>
        <v>0</v>
      </c>
      <c r="J20" s="160">
        <f>'M Q'!J12</f>
        <v>0</v>
      </c>
      <c r="K20" s="160">
        <f>'M Q'!K12</f>
        <v>0</v>
      </c>
      <c r="L20" s="160">
        <f>'M Q'!L12</f>
        <v>0</v>
      </c>
      <c r="M20" s="160">
        <f>'M Q'!M12</f>
        <v>0</v>
      </c>
      <c r="N20" s="160">
        <f>'M Q'!N12</f>
        <v>0</v>
      </c>
      <c r="O20" s="160">
        <f>'M Q'!O12</f>
        <v>0</v>
      </c>
    </row>
    <row r="21" spans="1:15" ht="21.75" customHeight="1">
      <c r="A21" s="166">
        <f t="shared" si="4"/>
        <v>251.00000802807</v>
      </c>
      <c r="B21" s="160" t="str">
        <f>'M Q'!P9</f>
        <v>DELILLE Théo</v>
      </c>
      <c r="C21" s="159">
        <f>'M Q'!Q9</f>
        <v>90.1</v>
      </c>
      <c r="D21" s="159">
        <f>'M Q'!R9</f>
        <v>80.7</v>
      </c>
      <c r="E21" s="159">
        <f>'M Q'!S9</f>
        <v>80.2</v>
      </c>
      <c r="F21" s="159">
        <f>'M Q'!T9</f>
        <v>251</v>
      </c>
      <c r="G21" s="159">
        <f>'M Q'!U9</f>
        <v>0</v>
      </c>
      <c r="H21" s="161"/>
      <c r="I21" s="164">
        <f t="shared" si="5"/>
        <v>0</v>
      </c>
      <c r="J21" s="160">
        <f>'M Q'!P12</f>
        <v>0</v>
      </c>
      <c r="K21" s="160">
        <f>'M Q'!Q12</f>
        <v>0</v>
      </c>
      <c r="L21" s="160">
        <f>'M Q'!R12</f>
        <v>0</v>
      </c>
      <c r="M21" s="160">
        <f>'M Q'!S12</f>
        <v>0</v>
      </c>
      <c r="N21" s="160">
        <f>'M Q'!T12</f>
        <v>0</v>
      </c>
      <c r="O21" s="160">
        <f>'M Q'!U12</f>
        <v>0</v>
      </c>
    </row>
    <row r="22" spans="1:15" ht="21.75" customHeight="1">
      <c r="A22" s="166">
        <f t="shared" si="4"/>
        <v>303.20000990017996</v>
      </c>
      <c r="B22" s="160" t="str">
        <f>'M Q'!V9</f>
        <v>PROFICET Quentin</v>
      </c>
      <c r="C22" s="159">
        <f>'M Q'!W9</f>
        <v>102.5</v>
      </c>
      <c r="D22" s="159">
        <f>'M Q'!X9</f>
        <v>101.8</v>
      </c>
      <c r="E22" s="159">
        <f>'M Q'!Y9</f>
        <v>98.9</v>
      </c>
      <c r="F22" s="159">
        <f>'M Q'!Z9</f>
        <v>303.2</v>
      </c>
      <c r="G22" s="159">
        <f>'M Q'!AA9</f>
        <v>0</v>
      </c>
      <c r="H22" s="161"/>
      <c r="I22" s="164">
        <f t="shared" si="5"/>
        <v>0</v>
      </c>
      <c r="J22" s="160">
        <f>'M Q'!V12</f>
        <v>0</v>
      </c>
      <c r="K22" s="160">
        <f>'M Q'!W12</f>
        <v>0</v>
      </c>
      <c r="L22" s="160">
        <f>'M Q'!X12</f>
        <v>0</v>
      </c>
      <c r="M22" s="160">
        <f>'M Q'!Y12</f>
        <v>0</v>
      </c>
      <c r="N22" s="160">
        <f>'M Q'!Z12</f>
        <v>0</v>
      </c>
      <c r="O22" s="160">
        <f>'M Q'!AA12</f>
        <v>0</v>
      </c>
    </row>
    <row r="23" spans="1:15" ht="21.75" customHeight="1">
      <c r="A23" s="166">
        <f t="shared" si="4"/>
        <v>197.00000668601</v>
      </c>
      <c r="B23" s="160" t="str">
        <f>'M Q'!AB9</f>
        <v>NOE Pierre</v>
      </c>
      <c r="C23" s="159">
        <f>'M Q'!AC9</f>
        <v>70.1</v>
      </c>
      <c r="D23" s="159">
        <f>'M Q'!AD9</f>
        <v>60.1</v>
      </c>
      <c r="E23" s="159">
        <f>'M Q'!AE9</f>
        <v>66.8</v>
      </c>
      <c r="F23" s="159">
        <f>'M Q'!AF9</f>
        <v>197</v>
      </c>
      <c r="G23" s="159">
        <f>'M Q'!AG9</f>
        <v>0</v>
      </c>
      <c r="H23" s="161"/>
      <c r="I23" s="164">
        <f t="shared" si="5"/>
        <v>0</v>
      </c>
      <c r="J23" s="160">
        <f>'M Q'!AB12</f>
        <v>0</v>
      </c>
      <c r="K23" s="160">
        <f>'M Q'!AC12</f>
        <v>0</v>
      </c>
      <c r="L23" s="160">
        <f>'M Q'!AD12</f>
        <v>0</v>
      </c>
      <c r="M23" s="160">
        <f>'M Q'!AE12</f>
        <v>0</v>
      </c>
      <c r="N23" s="160">
        <f>'M Q'!AF12</f>
        <v>0</v>
      </c>
      <c r="O23" s="160">
        <f>'M Q'!AG12</f>
        <v>0</v>
      </c>
    </row>
    <row r="24" spans="1:15" ht="21.75" customHeight="1">
      <c r="A24" s="165"/>
      <c r="B24" s="161"/>
      <c r="C24" s="161"/>
      <c r="D24" s="161"/>
      <c r="E24" s="161"/>
      <c r="F24" s="161"/>
      <c r="G24" s="161"/>
      <c r="H24" s="161"/>
      <c r="I24" s="165"/>
      <c r="J24" s="161"/>
      <c r="K24" s="161"/>
      <c r="L24" s="161"/>
      <c r="M24" s="161"/>
      <c r="N24" s="161"/>
      <c r="O24" s="161"/>
    </row>
    <row r="25" spans="1:15" ht="21.75" customHeight="1">
      <c r="A25" s="159"/>
      <c r="B25" s="160">
        <f>IF(INFO!B8&gt;3,"CLUB N°4","")</f>
      </c>
      <c r="C25" s="160">
        <f>'M Q'!B10</f>
        <v>0</v>
      </c>
      <c r="D25" s="160"/>
      <c r="E25" s="160"/>
      <c r="F25" s="159">
        <f>'M Q'!AH10</f>
        <v>0</v>
      </c>
      <c r="G25" s="159"/>
      <c r="H25" s="161"/>
      <c r="I25" s="159"/>
      <c r="J25" s="160">
        <f>IF(INFO!B8&gt;4,"CLUB N°5","")</f>
      </c>
      <c r="K25" s="160">
        <f>'M Q'!B11</f>
        <v>0</v>
      </c>
      <c r="L25" s="160"/>
      <c r="M25" s="160"/>
      <c r="N25" s="159">
        <f>'M Q'!AH11</f>
        <v>0</v>
      </c>
      <c r="O25" s="160"/>
    </row>
    <row r="26" spans="1:15" ht="21.75" customHeight="1">
      <c r="A26" s="160"/>
      <c r="B26" s="160" t="s">
        <v>61</v>
      </c>
      <c r="C26" s="163" t="s">
        <v>62</v>
      </c>
      <c r="D26" s="163" t="s">
        <v>63</v>
      </c>
      <c r="E26" s="163" t="s">
        <v>64</v>
      </c>
      <c r="F26" s="160" t="s">
        <v>65</v>
      </c>
      <c r="G26" s="160"/>
      <c r="H26" s="161"/>
      <c r="I26" s="160"/>
      <c r="J26" s="160" t="s">
        <v>61</v>
      </c>
      <c r="K26" s="163" t="s">
        <v>62</v>
      </c>
      <c r="L26" s="163" t="s">
        <v>63</v>
      </c>
      <c r="M26" s="163" t="s">
        <v>64</v>
      </c>
      <c r="N26" s="160" t="s">
        <v>65</v>
      </c>
      <c r="O26" s="160"/>
    </row>
    <row r="27" spans="1:15" ht="21.75" customHeight="1">
      <c r="A27" s="164">
        <f aca="true" t="shared" si="6" ref="A27:A31">F27+0.0001*G27+0.0000001*E27+0.0000000001*D27</f>
        <v>0</v>
      </c>
      <c r="B27" s="160">
        <f>'M Q'!D10</f>
        <v>0</v>
      </c>
      <c r="C27" s="159">
        <f>'M Q'!E10</f>
        <v>0</v>
      </c>
      <c r="D27" s="159">
        <f>'M Q'!F10</f>
        <v>0</v>
      </c>
      <c r="E27" s="159">
        <f>'M Q'!G10</f>
        <v>0</v>
      </c>
      <c r="F27" s="159">
        <f>'M Q'!H10</f>
        <v>0</v>
      </c>
      <c r="G27" s="159">
        <f>'M Q'!I10</f>
        <v>0</v>
      </c>
      <c r="H27" s="161"/>
      <c r="I27" s="164">
        <f aca="true" t="shared" si="7" ref="I27:I31">N27+0.0001*O27+0.0000001*M27+0.0000000001*L27</f>
        <v>0</v>
      </c>
      <c r="J27" s="160">
        <f>'M Q'!D11</f>
        <v>0</v>
      </c>
      <c r="K27" s="160">
        <f>'M Q'!E11</f>
        <v>0</v>
      </c>
      <c r="L27" s="160">
        <f>'M Q'!F11</f>
        <v>0</v>
      </c>
      <c r="M27" s="160">
        <f>'M Q'!G11</f>
        <v>0</v>
      </c>
      <c r="N27" s="160">
        <f>'M Q'!H11</f>
        <v>0</v>
      </c>
      <c r="O27" s="160">
        <f>'M Q'!I11</f>
        <v>0</v>
      </c>
    </row>
    <row r="28" spans="1:15" ht="21.75" customHeight="1">
      <c r="A28" s="164">
        <f t="shared" si="6"/>
        <v>0</v>
      </c>
      <c r="B28" s="160">
        <f>'M Q'!J10</f>
        <v>0</v>
      </c>
      <c r="C28" s="159">
        <f>'M Q'!K10</f>
        <v>0</v>
      </c>
      <c r="D28" s="159">
        <f>'M Q'!L10</f>
        <v>0</v>
      </c>
      <c r="E28" s="159">
        <f>'M Q'!M10</f>
        <v>0</v>
      </c>
      <c r="F28" s="159">
        <f>'M Q'!N10</f>
        <v>0</v>
      </c>
      <c r="G28" s="159">
        <f>'M Q'!O10</f>
        <v>0</v>
      </c>
      <c r="H28" s="161"/>
      <c r="I28" s="164">
        <f t="shared" si="7"/>
        <v>0</v>
      </c>
      <c r="J28" s="160">
        <f>'M Q'!J11</f>
        <v>0</v>
      </c>
      <c r="K28" s="160">
        <f>'M Q'!K11</f>
        <v>0</v>
      </c>
      <c r="L28" s="160">
        <f>'M Q'!L11</f>
        <v>0</v>
      </c>
      <c r="M28" s="160">
        <f>'M Q'!M11</f>
        <v>0</v>
      </c>
      <c r="N28" s="160">
        <f>'M Q'!N11</f>
        <v>0</v>
      </c>
      <c r="O28" s="160">
        <f>'M Q'!O11</f>
        <v>0</v>
      </c>
    </row>
    <row r="29" spans="1:15" ht="21.75" customHeight="1">
      <c r="A29" s="164">
        <f t="shared" si="6"/>
        <v>0</v>
      </c>
      <c r="B29" s="160">
        <f>'M Q'!P10</f>
        <v>0</v>
      </c>
      <c r="C29" s="159">
        <f>'M Q'!Q10</f>
        <v>0</v>
      </c>
      <c r="D29" s="159">
        <f>'M Q'!R10</f>
        <v>0</v>
      </c>
      <c r="E29" s="159">
        <f>'M Q'!S10</f>
        <v>0</v>
      </c>
      <c r="F29" s="159">
        <f>'M Q'!T10</f>
        <v>0</v>
      </c>
      <c r="G29" s="159">
        <f>'M Q'!U10</f>
        <v>0</v>
      </c>
      <c r="H29" s="161"/>
      <c r="I29" s="164">
        <f t="shared" si="7"/>
        <v>0</v>
      </c>
      <c r="J29" s="160">
        <f>'M Q'!P11</f>
        <v>0</v>
      </c>
      <c r="K29" s="160">
        <f>'M Q'!Q11</f>
        <v>0</v>
      </c>
      <c r="L29" s="160">
        <f>'M Q'!R11</f>
        <v>0</v>
      </c>
      <c r="M29" s="160">
        <f>'M Q'!S11</f>
        <v>0</v>
      </c>
      <c r="N29" s="160">
        <f>'M Q'!T11</f>
        <v>0</v>
      </c>
      <c r="O29" s="160">
        <f>'M Q'!U11</f>
        <v>0</v>
      </c>
    </row>
    <row r="30" spans="1:15" ht="21.75" customHeight="1">
      <c r="A30" s="164">
        <f t="shared" si="6"/>
        <v>0</v>
      </c>
      <c r="B30" s="160">
        <f>'M Q'!V10</f>
        <v>0</v>
      </c>
      <c r="C30" s="159">
        <f>'M Q'!W10</f>
        <v>0</v>
      </c>
      <c r="D30" s="159">
        <f>'M Q'!X10</f>
        <v>0</v>
      </c>
      <c r="E30" s="159">
        <f>'M Q'!Y10</f>
        <v>0</v>
      </c>
      <c r="F30" s="159">
        <f>'M Q'!Z10</f>
        <v>0</v>
      </c>
      <c r="G30" s="159">
        <f>'M Q'!AA10</f>
        <v>0</v>
      </c>
      <c r="H30" s="161"/>
      <c r="I30" s="164">
        <f t="shared" si="7"/>
        <v>0</v>
      </c>
      <c r="J30" s="160">
        <f>'M Q'!V11</f>
        <v>0</v>
      </c>
      <c r="K30" s="160">
        <f>'M Q'!W11</f>
        <v>0</v>
      </c>
      <c r="L30" s="160">
        <f>'M Q'!X11</f>
        <v>0</v>
      </c>
      <c r="M30" s="160">
        <f>'M Q'!Y11</f>
        <v>0</v>
      </c>
      <c r="N30" s="160">
        <f>'M Q'!Z11</f>
        <v>0</v>
      </c>
      <c r="O30" s="160">
        <f>'M Q'!AA11</f>
        <v>0</v>
      </c>
    </row>
    <row r="31" spans="1:15" ht="21.75" customHeight="1">
      <c r="A31" s="164">
        <f t="shared" si="6"/>
        <v>0</v>
      </c>
      <c r="B31" s="160">
        <f>'M Q'!AB10</f>
        <v>0</v>
      </c>
      <c r="C31" s="159">
        <f>'M Q'!AC10</f>
        <v>0</v>
      </c>
      <c r="D31" s="159">
        <f>'M Q'!AD10</f>
        <v>0</v>
      </c>
      <c r="E31" s="159">
        <f>'M Q'!AE10</f>
        <v>0</v>
      </c>
      <c r="F31" s="159">
        <f>'M Q'!AF10</f>
        <v>0</v>
      </c>
      <c r="G31" s="159">
        <f>'M Q'!AG10</f>
        <v>0</v>
      </c>
      <c r="H31" s="161"/>
      <c r="I31" s="164">
        <f t="shared" si="7"/>
        <v>0</v>
      </c>
      <c r="J31" s="160">
        <f>'M Q'!AB11</f>
        <v>0</v>
      </c>
      <c r="K31" s="160">
        <f>'M Q'!AC11</f>
        <v>0</v>
      </c>
      <c r="L31" s="160">
        <f>'M Q'!AD11</f>
        <v>0</v>
      </c>
      <c r="M31" s="160">
        <f>'M Q'!AE11</f>
        <v>0</v>
      </c>
      <c r="N31" s="160">
        <f>'M Q'!AF11</f>
        <v>0</v>
      </c>
      <c r="O31" s="160">
        <f>'M Q'!AG11</f>
        <v>0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SheetLayoutView="100" workbookViewId="0" topLeftCell="A1">
      <selection activeCell="P24" sqref="P24"/>
    </sheetView>
  </sheetViews>
  <sheetFormatPr defaultColWidth="8.00390625" defaultRowHeight="12.75"/>
  <cols>
    <col min="1" max="1" width="17.57421875" style="167" customWidth="1"/>
    <col min="2" max="2" width="29.421875" style="168" customWidth="1"/>
    <col min="3" max="5" width="12.421875" style="168" customWidth="1"/>
    <col min="6" max="6" width="9.7109375" style="168" customWidth="1"/>
    <col min="7" max="7" width="4.140625" style="168" customWidth="1"/>
    <col min="8" max="8" width="29.421875" style="168" customWidth="1"/>
    <col min="9" max="11" width="12.140625" style="168" customWidth="1"/>
    <col min="12" max="12" width="9.7109375" style="168" customWidth="1"/>
    <col min="13" max="13" width="6.421875" style="168" customWidth="1"/>
    <col min="14" max="16384" width="7.8515625" style="168" customWidth="1"/>
  </cols>
  <sheetData>
    <row r="1" spans="1:14" ht="49.5" customHeight="1">
      <c r="A1" s="169"/>
      <c r="B1" s="170" t="s">
        <v>67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  <c r="N1" s="171"/>
    </row>
    <row r="2" spans="1:13" ht="21.75" customHeight="1">
      <c r="A2" s="172"/>
      <c r="B2" s="173" t="s">
        <v>60</v>
      </c>
      <c r="C2" s="174" t="str">
        <f>'Clb Q (2)'!C1</f>
        <v>LA MOUCHE REMILLY</v>
      </c>
      <c r="D2" s="174"/>
      <c r="E2" s="174"/>
      <c r="F2" s="175">
        <f>'Clb Q (2)'!F1</f>
        <v>1447.9</v>
      </c>
      <c r="G2" s="176"/>
      <c r="H2" s="177">
        <f>IF(INFO!B8&gt;7,"CLUB N°8","")</f>
      </c>
      <c r="I2" s="178">
        <f>IF(INFO!B8&gt;7,'Clb Q (2)'!K1,"")</f>
      </c>
      <c r="J2" s="178"/>
      <c r="K2" s="178"/>
      <c r="L2" s="179">
        <f>IF(INFO!B8&gt;7,'Clb Q (2)'!N1,"")</f>
      </c>
      <c r="M2" s="176"/>
    </row>
    <row r="3" spans="1:13" ht="21.75" customHeight="1">
      <c r="A3" s="180"/>
      <c r="B3" s="181" t="s">
        <v>61</v>
      </c>
      <c r="C3" s="182" t="s">
        <v>62</v>
      </c>
      <c r="D3" s="183" t="s">
        <v>63</v>
      </c>
      <c r="E3" s="184" t="s">
        <v>64</v>
      </c>
      <c r="F3" s="177" t="s">
        <v>65</v>
      </c>
      <c r="G3" s="176"/>
      <c r="H3" s="177" t="s">
        <v>61</v>
      </c>
      <c r="I3" s="185" t="s">
        <v>62</v>
      </c>
      <c r="J3" s="186" t="s">
        <v>63</v>
      </c>
      <c r="K3" s="187" t="s">
        <v>64</v>
      </c>
      <c r="L3" s="177" t="s">
        <v>65</v>
      </c>
      <c r="M3" s="176"/>
    </row>
    <row r="4" spans="1:13" ht="21.75" customHeight="1">
      <c r="A4" s="180"/>
      <c r="B4" s="188" t="str">
        <f>VLOOKUP(F4,'Clb Q (2)'!A$3:G$7,2,0)</f>
        <v>ETIENNE Doreen</v>
      </c>
      <c r="C4" s="189">
        <f>VLOOKUP(F4,'Clb Q (2)'!A$3:G$7,3,0)</f>
        <v>102</v>
      </c>
      <c r="D4" s="190">
        <f>VLOOKUP(F4,'Clb Q (2)'!A$3:G$7,4,0)</f>
        <v>102.6</v>
      </c>
      <c r="E4" s="191">
        <f>VLOOKUP(F4,'Clb Q (2)'!A$3:G$7,5,0)</f>
        <v>98.4</v>
      </c>
      <c r="F4" s="192">
        <f>LARGE('Clb Q (2)'!A$3:A$7,1)</f>
        <v>303.00000985026</v>
      </c>
      <c r="G4" s="176"/>
      <c r="H4" s="192">
        <f>IF(INFO!B$8&gt;7,VLOOKUP(L4,'Clb Q (2)'!I$3:O$7,2,0),"")</f>
      </c>
      <c r="I4" s="193">
        <f>IF(INFO!B$8&gt;7,VLOOKUP(L4,'Clb Q (2)'!I$3:O$7,3,0),"")</f>
      </c>
      <c r="J4" s="194">
        <f>IF(INFO!B$8&gt;7,VLOOKUP(L4,'Clb Q (2)'!I$3:O$7,4,0),"")</f>
      </c>
      <c r="K4" s="195">
        <f>IF(INFO!B$8&gt;7,VLOOKUP(L4,'Clb Q (2)'!I$3:O$7,5,0),"")</f>
      </c>
      <c r="L4" s="192">
        <f>IF(INFO!B$8&gt;7,LARGE('Clb Q (2)'!I$3:I$7,1),"")</f>
      </c>
      <c r="M4" s="176"/>
    </row>
    <row r="5" spans="1:13" ht="21.75" customHeight="1">
      <c r="A5" s="180"/>
      <c r="B5" s="188" t="str">
        <f>VLOOKUP(F5,'Clb Q (2)'!A$3:G$7,2,0)</f>
        <v>GOHLKE Alexandra</v>
      </c>
      <c r="C5" s="189">
        <f>VLOOKUP(F5,'Clb Q (2)'!A$3:G$7,3,0)</f>
        <v>101.7</v>
      </c>
      <c r="D5" s="190">
        <f>VLOOKUP(F5,'Clb Q (2)'!A$3:G$7,4,0)</f>
        <v>98.2</v>
      </c>
      <c r="E5" s="191">
        <f>VLOOKUP(F5,'Clb Q (2)'!A$3:G$7,5,0)</f>
        <v>98.7</v>
      </c>
      <c r="F5" s="192">
        <f>LARGE('Clb Q (2)'!A$3:A$7,2)</f>
        <v>298.60000987982</v>
      </c>
      <c r="G5" s="176"/>
      <c r="H5" s="192">
        <f>IF(INFO!B$8&gt;7,VLOOKUP(L5,'Clb Q (2)'!I$3:O$7,2,0),"")</f>
      </c>
      <c r="I5" s="193">
        <f>IF(INFO!B$8&gt;7,VLOOKUP(L5,'Clb Q (2)'!I$3:O$7,3,0),"")</f>
      </c>
      <c r="J5" s="194">
        <f>IF(INFO!B$8&gt;7,VLOOKUP(L5,'Clb Q (2)'!I$3:O$7,4,0),"")</f>
      </c>
      <c r="K5" s="195">
        <f>IF(INFO!B$8&gt;7,VLOOKUP(L5,'Clb Q (2)'!I$3:O$7,5,0),"")</f>
      </c>
      <c r="L5" s="192">
        <f>IF(INFO!B$8&gt;7,LARGE('Clb Q (2)'!I$3:I$7,2),"")</f>
      </c>
      <c r="M5" s="176"/>
    </row>
    <row r="6" spans="1:13" ht="21.75" customHeight="1">
      <c r="A6" s="180"/>
      <c r="B6" s="188" t="str">
        <f>VLOOKUP(F6,'Clb Q (2)'!A$3:G$7,2,0)</f>
        <v>COUSTEIX Crystale</v>
      </c>
      <c r="C6" s="189">
        <f>VLOOKUP(F6,'Clb Q (2)'!A$3:G$7,3,0)</f>
        <v>102.6</v>
      </c>
      <c r="D6" s="190">
        <f>VLOOKUP(F6,'Clb Q (2)'!A$3:G$7,4,0)</f>
        <v>98.9</v>
      </c>
      <c r="E6" s="191">
        <f>VLOOKUP(F6,'Clb Q (2)'!A$3:G$7,5,0)</f>
        <v>96.5</v>
      </c>
      <c r="F6" s="192">
        <f>LARGE('Clb Q (2)'!A$3:A$7,3)</f>
        <v>298.00000965989</v>
      </c>
      <c r="G6" s="176"/>
      <c r="H6" s="192">
        <f>IF(INFO!B$8&gt;7,VLOOKUP(L6,'Clb Q (2)'!I$3:O$7,2,0),"")</f>
      </c>
      <c r="I6" s="193">
        <f>IF(INFO!B$8&gt;7,VLOOKUP(L6,'Clb Q (2)'!I$3:O$7,3,0),"")</f>
      </c>
      <c r="J6" s="194">
        <f>IF(INFO!B$8&gt;7,VLOOKUP(L6,'Clb Q (2)'!I$3:O$7,4,0),"")</f>
      </c>
      <c r="K6" s="195">
        <f>IF(INFO!B$8&gt;7,VLOOKUP(L6,'Clb Q (2)'!I$3:O$7,5,0),"")</f>
      </c>
      <c r="L6" s="192">
        <f>IF(INFO!B$8&gt;7,LARGE('Clb Q (2)'!I$3:I$7,3),"")</f>
      </c>
      <c r="M6" s="176"/>
    </row>
    <row r="7" spans="1:13" ht="21.75" customHeight="1">
      <c r="A7" s="180"/>
      <c r="B7" s="188" t="str">
        <f>VLOOKUP(F7,'Clb Q (2)'!A$3:G$7,2,0)</f>
        <v>BISTON Mélissa</v>
      </c>
      <c r="C7" s="189">
        <f>VLOOKUP(F7,'Clb Q (2)'!A$3:G$7,3,0)</f>
        <v>94.8</v>
      </c>
      <c r="D7" s="190">
        <f>VLOOKUP(F7,'Clb Q (2)'!A$3:G$7,4,0)</f>
        <v>95.6</v>
      </c>
      <c r="E7" s="191">
        <f>VLOOKUP(F7,'Clb Q (2)'!A$3:G$7,5,0)</f>
        <v>89.2</v>
      </c>
      <c r="F7" s="192">
        <f>LARGE('Clb Q (2)'!A$3:A$7,4)</f>
        <v>279.60000892956003</v>
      </c>
      <c r="G7" s="176"/>
      <c r="H7" s="192">
        <f>IF(INFO!B$8&gt;7,VLOOKUP(L7,'Clb Q (2)'!I$3:O$7,2,0),"")</f>
      </c>
      <c r="I7" s="193">
        <f>IF(INFO!B$8&gt;7,VLOOKUP(L7,'Clb Q (2)'!I$3:O$7,3,0),"")</f>
      </c>
      <c r="J7" s="194">
        <f>IF(INFO!B$8&gt;7,VLOOKUP(L7,'Clb Q (2)'!I$3:O$7,4,0),"")</f>
      </c>
      <c r="K7" s="195">
        <f>IF(INFO!B$8&gt;7,VLOOKUP(L7,'Clb Q (2)'!I$3:O$7,5,0),"")</f>
      </c>
      <c r="L7" s="192">
        <f>IF(INFO!B$8&gt;7,LARGE('Clb Q (2)'!I$3:I$7,4),"")</f>
      </c>
      <c r="M7" s="176"/>
    </row>
    <row r="8" spans="1:13" ht="21.75" customHeight="1">
      <c r="A8" s="180"/>
      <c r="B8" s="196" t="str">
        <f>VLOOKUP(F8,'Clb Q (2)'!A$3:G$7,2,0)</f>
        <v>MORGEON Christelle</v>
      </c>
      <c r="C8" s="178">
        <f>VLOOKUP(F8,'Clb Q (2)'!A$3:G$7,3,0)</f>
        <v>92.3</v>
      </c>
      <c r="D8" s="197">
        <f>VLOOKUP(F8,'Clb Q (2)'!A$3:G$7,4,0)</f>
        <v>91.6</v>
      </c>
      <c r="E8" s="198">
        <f>VLOOKUP(F8,'Clb Q (2)'!A$3:G$7,5,0)</f>
        <v>84.8</v>
      </c>
      <c r="F8" s="199">
        <f>LARGE('Clb Q (2)'!A$3:A$7,5)</f>
        <v>268.70000848916</v>
      </c>
      <c r="G8" s="176"/>
      <c r="H8" s="199">
        <f>IF(INFO!B$8&gt;7,VLOOKUP(L8,'Clb Q (2)'!I$3:O$7,2,0),"")</f>
      </c>
      <c r="I8" s="178">
        <f>IF(INFO!B$8&gt;7,VLOOKUP(L8,'Clb Q (2)'!I$3:O$7,3,0),"")</f>
      </c>
      <c r="J8" s="200">
        <f>IF(INFO!B$8&gt;7,VLOOKUP(L8,'Clb Q (2)'!I$3:O$7,4,0),"")</f>
      </c>
      <c r="K8" s="201">
        <f>IF(INFO!B$8&gt;7,VLOOKUP(L8,'Clb Q (2)'!I$3:O$7,5,0),"")</f>
      </c>
      <c r="L8" s="199">
        <f>IF(INFO!B$8&gt;7,LARGE('Clb Q (2)'!I$3:I$7,5),"")</f>
      </c>
      <c r="M8" s="176"/>
    </row>
    <row r="9" spans="1:13" ht="21.75" customHeight="1">
      <c r="A9" s="202"/>
      <c r="B9" s="203"/>
      <c r="C9" s="176"/>
      <c r="D9" s="176"/>
      <c r="E9" s="176"/>
      <c r="F9" s="204"/>
      <c r="G9" s="176"/>
      <c r="H9" s="204"/>
      <c r="I9" s="176"/>
      <c r="J9" s="176"/>
      <c r="K9" s="176"/>
      <c r="L9" s="204"/>
      <c r="M9" s="176"/>
    </row>
    <row r="10" spans="1:13" ht="21.75" customHeight="1">
      <c r="A10" s="202"/>
      <c r="B10" s="177" t="s">
        <v>66</v>
      </c>
      <c r="C10" s="178" t="str">
        <f>'Clb Q (2)'!C9</f>
        <v>EAC THIN-LE-MOUTIER</v>
      </c>
      <c r="D10" s="178"/>
      <c r="E10" s="178"/>
      <c r="F10" s="179">
        <f>'Clb Q (2)'!F9</f>
        <v>1434.1999999999998</v>
      </c>
      <c r="G10" s="176"/>
      <c r="H10" s="177">
        <f>IF(INFO!B8&gt;6,"CLUB N°7","")</f>
      </c>
      <c r="I10" s="178">
        <f>IF(INFO!B8&gt;6,'Clb Q (2)'!K9,"")</f>
      </c>
      <c r="J10" s="178"/>
      <c r="K10" s="178"/>
      <c r="L10" s="179">
        <f>IF(INFO!B8&gt;6,'Clb Q (2)'!N9,"")</f>
      </c>
      <c r="M10" s="176"/>
    </row>
    <row r="11" spans="1:13" ht="21.75" customHeight="1">
      <c r="A11" s="205"/>
      <c r="B11" s="177" t="s">
        <v>61</v>
      </c>
      <c r="C11" s="185" t="s">
        <v>62</v>
      </c>
      <c r="D11" s="186" t="s">
        <v>63</v>
      </c>
      <c r="E11" s="187" t="s">
        <v>64</v>
      </c>
      <c r="F11" s="177" t="s">
        <v>65</v>
      </c>
      <c r="G11" s="176"/>
      <c r="H11" s="177" t="s">
        <v>61</v>
      </c>
      <c r="I11" s="185" t="s">
        <v>62</v>
      </c>
      <c r="J11" s="186" t="s">
        <v>63</v>
      </c>
      <c r="K11" s="187" t="s">
        <v>64</v>
      </c>
      <c r="L11" s="177" t="s">
        <v>65</v>
      </c>
      <c r="M11" s="176"/>
    </row>
    <row r="12" spans="1:13" ht="21.75" customHeight="1">
      <c r="A12" s="205"/>
      <c r="B12" s="206" t="str">
        <f>VLOOKUP(F12,'Clb Q (2)'!A$11:G$15,2,0)</f>
        <v>LESIEUR Jules</v>
      </c>
      <c r="C12" s="193">
        <f>VLOOKUP(F12,'Clb Q (2)'!A$11:G$15,3,0)</f>
        <v>96.5</v>
      </c>
      <c r="D12" s="194">
        <f>VLOOKUP(F12,'Clb Q (2)'!A$11:G$15,4,0)</f>
        <v>99.4</v>
      </c>
      <c r="E12" s="195">
        <f>VLOOKUP(F12,'Clb Q (2)'!A$11:G$15,5,0)</f>
        <v>99.5</v>
      </c>
      <c r="F12" s="192">
        <f>LARGE('Clb Q (2)'!A$11:A$15,1)</f>
        <v>295.40000995993995</v>
      </c>
      <c r="G12" s="176"/>
      <c r="H12" s="192">
        <f>IF(INFO!B$8&gt;6,VLOOKUP(L12,'Clb Q (2)'!I$11:O$15,2,0),"")</f>
      </c>
      <c r="I12" s="193">
        <f>IF(INFO!B$8&gt;6,VLOOKUP(L12,'Clb Q (2)'!I$11:O$15,3,0),"")</f>
      </c>
      <c r="J12" s="194">
        <f>IF(INFO!B$8&gt;6,VLOOKUP(L12,'Clb Q (2)'!I$11:O$15,4,0),"")</f>
      </c>
      <c r="K12" s="195">
        <f>IF(INFO!B$8&gt;6,VLOOKUP(L12,'Clb Q (2)'!I$11:O$15,5,0),"")</f>
      </c>
      <c r="L12" s="192">
        <f>IF(INFO!B$8&gt;6,LARGE('Clb Q (2)'!I$11:I$15,1),"")</f>
      </c>
      <c r="M12" s="176"/>
    </row>
    <row r="13" spans="1:13" ht="21.75" customHeight="1">
      <c r="A13" s="205"/>
      <c r="B13" s="192" t="str">
        <f>VLOOKUP(F13,'Clb Q (2)'!A$11:G$15,2,0)</f>
        <v>BOCQUET Corentin</v>
      </c>
      <c r="C13" s="193">
        <f>VLOOKUP(F13,'Clb Q (2)'!A$11:G$15,3,0)</f>
        <v>94.2</v>
      </c>
      <c r="D13" s="194">
        <f>VLOOKUP(F13,'Clb Q (2)'!A$11:G$15,4,0)</f>
        <v>102.1</v>
      </c>
      <c r="E13" s="195">
        <f>VLOOKUP(F13,'Clb Q (2)'!A$11:G$15,5,0)</f>
        <v>96.5</v>
      </c>
      <c r="F13" s="192">
        <f>LARGE('Clb Q (2)'!A$11:A$15,2)</f>
        <v>292.80000966021</v>
      </c>
      <c r="G13" s="176"/>
      <c r="H13" s="192">
        <f>IF(INFO!B$8&gt;6,VLOOKUP(L13,'Clb Q (2)'!I$11:O$15,2,0),"")</f>
      </c>
      <c r="I13" s="193">
        <f>IF(INFO!B$8&gt;6,VLOOKUP(L13,'Clb Q (2)'!I$11:O$15,3,0),"")</f>
      </c>
      <c r="J13" s="194">
        <f>IF(INFO!B$8&gt;6,VLOOKUP(L13,'Clb Q (2)'!I$11:O$15,4,0),"")</f>
      </c>
      <c r="K13" s="195">
        <f>IF(INFO!B$8&gt;6,VLOOKUP(L13,'Clb Q (2)'!I$11:O$15,5,0),"")</f>
      </c>
      <c r="L13" s="192">
        <f>IF(INFO!B$8&gt;6,LARGE('Clb Q (2)'!I$11:I$15,2),"")</f>
      </c>
      <c r="M13" s="176"/>
    </row>
    <row r="14" spans="1:13" ht="21.75" customHeight="1">
      <c r="A14" s="205"/>
      <c r="B14" s="192" t="str">
        <f>VLOOKUP(F14,'Clb Q (2)'!A$11:G$15,2,0)</f>
        <v>QUIMPER Meryn</v>
      </c>
      <c r="C14" s="193">
        <f>VLOOKUP(F14,'Clb Q (2)'!A$11:G$15,3,0)</f>
        <v>100.7</v>
      </c>
      <c r="D14" s="194">
        <f>VLOOKUP(F14,'Clb Q (2)'!A$11:G$15,4,0)</f>
        <v>95.1</v>
      </c>
      <c r="E14" s="195">
        <f>VLOOKUP(F14,'Clb Q (2)'!A$11:G$15,5,0)</f>
        <v>90.3</v>
      </c>
      <c r="F14" s="192">
        <f>LARGE('Clb Q (2)'!A$11:A$15,3)</f>
        <v>286.10000903951</v>
      </c>
      <c r="G14" s="176"/>
      <c r="H14" s="192">
        <f>IF(INFO!B$8&gt;6,VLOOKUP(L14,'Clb Q (2)'!I$11:O$15,2,0),"")</f>
      </c>
      <c r="I14" s="193">
        <f>IF(INFO!B$8&gt;6,VLOOKUP(L14,'Clb Q (2)'!I$11:O$15,3,0),"")</f>
      </c>
      <c r="J14" s="194">
        <f>IF(INFO!B$8&gt;6,VLOOKUP(L14,'Clb Q (2)'!I$11:O$15,4,0),"")</f>
      </c>
      <c r="K14" s="195">
        <f>IF(INFO!B$8&gt;6,VLOOKUP(L14,'Clb Q (2)'!I$11:O$15,5,0),"")</f>
      </c>
      <c r="L14" s="192">
        <f>IF(INFO!B$8&gt;6,LARGE('Clb Q (2)'!I$11:I$15,3),"")</f>
      </c>
      <c r="M14" s="176"/>
    </row>
    <row r="15" spans="1:13" ht="21.75" customHeight="1">
      <c r="A15" s="205"/>
      <c r="B15" s="192" t="str">
        <f>VLOOKUP(F15,'Clb Q (2)'!A$11:G$15,2,0)</f>
        <v>LESIEUR Christophe</v>
      </c>
      <c r="C15" s="193">
        <f>VLOOKUP(F15,'Clb Q (2)'!A$11:G$15,3,0)</f>
        <v>91</v>
      </c>
      <c r="D15" s="194">
        <f>VLOOKUP(F15,'Clb Q (2)'!A$11:G$15,4,0)</f>
        <v>96.6</v>
      </c>
      <c r="E15" s="195">
        <f>VLOOKUP(F15,'Clb Q (2)'!A$11:G$15,5,0)</f>
        <v>94.9</v>
      </c>
      <c r="F15" s="192">
        <f>LARGE('Clb Q (2)'!A$11:A$15,4)</f>
        <v>282.50000949966005</v>
      </c>
      <c r="G15" s="176"/>
      <c r="H15" s="192">
        <f>IF(INFO!B$8&gt;6,VLOOKUP(L15,'Clb Q (2)'!I$11:O$15,2,0),"")</f>
      </c>
      <c r="I15" s="193">
        <f>IF(INFO!B$8&gt;6,VLOOKUP(L15,'Clb Q (2)'!I$11:O$15,3,0),"")</f>
      </c>
      <c r="J15" s="194">
        <f>IF(INFO!B$8&gt;6,VLOOKUP(L15,'Clb Q (2)'!I$11:O$15,4,0),"")</f>
      </c>
      <c r="K15" s="195">
        <f>IF(INFO!B$8&gt;6,VLOOKUP(L15,'Clb Q (2)'!I$11:O$15,5,0),"")</f>
      </c>
      <c r="L15" s="192">
        <f>IF(INFO!B$8&gt;6,LARGE('Clb Q (2)'!I$11:I$15,4),"")</f>
      </c>
      <c r="M15" s="176"/>
    </row>
    <row r="16" spans="1:13" ht="21.75" customHeight="1">
      <c r="A16" s="205"/>
      <c r="B16" s="199" t="str">
        <f>VLOOKUP(F16,'Clb Q (2)'!A$11:G$15,2,0)</f>
        <v>BROUSMICHE Lucas</v>
      </c>
      <c r="C16" s="178">
        <f>VLOOKUP(F16,'Clb Q (2)'!A$11:G$15,3,0)</f>
        <v>87.7</v>
      </c>
      <c r="D16" s="200">
        <f>VLOOKUP(F16,'Clb Q (2)'!A$11:G$15,4,0)</f>
        <v>92.5</v>
      </c>
      <c r="E16" s="201">
        <f>VLOOKUP(F16,'Clb Q (2)'!A$11:G$15,5,0)</f>
        <v>97.2</v>
      </c>
      <c r="F16" s="199">
        <f>LARGE('Clb Q (2)'!A$11:A$15,5)</f>
        <v>277.40000972925</v>
      </c>
      <c r="G16" s="176"/>
      <c r="H16" s="199">
        <f>IF(INFO!B$8&gt;6,VLOOKUP(L16,'Clb Q (2)'!I$11:O$15,2,0),"")</f>
      </c>
      <c r="I16" s="178">
        <f>IF(INFO!B$8&gt;6,VLOOKUP(L16,'Clb Q (2)'!I$11:O$15,3,0),"")</f>
      </c>
      <c r="J16" s="200">
        <f>IF(INFO!B$8&gt;6,VLOOKUP(L16,'Clb Q (2)'!I$11:O$15,4,0),"")</f>
      </c>
      <c r="K16" s="201">
        <f>IF(INFO!B$8&gt;6,VLOOKUP(L16,'Clb Q (2)'!I$11:O$15,5,0),"")</f>
      </c>
      <c r="L16" s="199">
        <f>IF(INFO!B$8&gt;6,LARGE('Clb Q (2)'!I$11:I$15,5),"")</f>
      </c>
      <c r="M16" s="176"/>
    </row>
    <row r="17" spans="1:13" ht="21.75" customHeight="1">
      <c r="A17" s="207"/>
      <c r="B17" s="204"/>
      <c r="C17" s="176"/>
      <c r="D17" s="176"/>
      <c r="E17" s="176"/>
      <c r="F17" s="204"/>
      <c r="G17" s="176"/>
      <c r="H17" s="204"/>
      <c r="I17" s="176"/>
      <c r="J17" s="176"/>
      <c r="K17" s="176"/>
      <c r="L17" s="204"/>
      <c r="M17" s="176"/>
    </row>
    <row r="18" spans="1:13" ht="21.75" customHeight="1">
      <c r="A18" s="207"/>
      <c r="B18" s="177" t="str">
        <f>IF(INFO!B8&gt;2,"CLUB N°3","")</f>
        <v>CLUB N°3</v>
      </c>
      <c r="C18" s="178" t="str">
        <f>IF(INFO!B8&gt;2,'Clb Q (2)'!C17,"")</f>
        <v>USTIR CHARLEVILLE</v>
      </c>
      <c r="D18" s="178"/>
      <c r="E18" s="178"/>
      <c r="F18" s="179">
        <f>IF(INFO!B8&gt;2,'Clb Q (2)'!F17,"")</f>
        <v>1308.4</v>
      </c>
      <c r="G18" s="176"/>
      <c r="H18" s="177">
        <f>IF(INFO!B8&gt;5,"CLUB N°6","")</f>
      </c>
      <c r="I18" s="178">
        <f>IF(INFO!B8&gt;5,'Clb Q (2)'!K17,"")</f>
      </c>
      <c r="J18" s="178"/>
      <c r="K18" s="178"/>
      <c r="L18" s="179">
        <f>IF(INFO!B8&gt;5,'Clb Q (2)'!N17,"")</f>
      </c>
      <c r="M18" s="176"/>
    </row>
    <row r="19" spans="1:13" ht="21.75" customHeight="1">
      <c r="A19" s="205"/>
      <c r="B19" s="177" t="s">
        <v>61</v>
      </c>
      <c r="C19" s="185" t="s">
        <v>62</v>
      </c>
      <c r="D19" s="186" t="s">
        <v>63</v>
      </c>
      <c r="E19" s="187" t="s">
        <v>64</v>
      </c>
      <c r="F19" s="177" t="s">
        <v>65</v>
      </c>
      <c r="G19" s="176"/>
      <c r="H19" s="177" t="s">
        <v>61</v>
      </c>
      <c r="I19" s="185" t="s">
        <v>62</v>
      </c>
      <c r="J19" s="186" t="s">
        <v>63</v>
      </c>
      <c r="K19" s="187" t="s">
        <v>64</v>
      </c>
      <c r="L19" s="177" t="s">
        <v>65</v>
      </c>
      <c r="M19" s="176"/>
    </row>
    <row r="20" spans="1:13" ht="21.75" customHeight="1">
      <c r="A20" s="205"/>
      <c r="B20" s="192" t="str">
        <f>IF(INFO!B$8&gt;2,VLOOKUP(F20,'Clb Q (2)'!A$19:G$23,2,0),"")</f>
        <v>PROFICET Quentin</v>
      </c>
      <c r="C20" s="193">
        <f>IF(INFO!B$8&gt;2,VLOOKUP(F20,'Clb Q (2)'!A$19:G$23,3,0),"")</f>
        <v>102.5</v>
      </c>
      <c r="D20" s="194">
        <f>IF(INFO!B$8&gt;2,VLOOKUP(F20,'Clb Q (2)'!A$19:G$23,4,0),"")</f>
        <v>101.8</v>
      </c>
      <c r="E20" s="195">
        <f>IF(INFO!B$8&gt;2,VLOOKUP(F20,'Clb Q (2)'!A$19:G$23,5,0),"")</f>
        <v>98.9</v>
      </c>
      <c r="F20" s="192">
        <f>IF(INFO!B$8&gt;2,LARGE('Clb Q (2)'!A$19:A$23,1),"")</f>
        <v>303.20000990017996</v>
      </c>
      <c r="G20" s="176"/>
      <c r="H20" s="192">
        <f>IF(INFO!B$8&gt;5,VLOOKUP(L20,'Clb Q (2)'!I$19:O$23,2,0),"")</f>
      </c>
      <c r="I20" s="193">
        <f>IF(INFO!B$8&gt;5,VLOOKUP(L20,'Clb Q (2)'!I$19:O$23,3,0),"")</f>
      </c>
      <c r="J20" s="194">
        <f>IF(INFO!B$8&gt;5,VLOOKUP(L20,'Clb Q (2)'!I$19:O$23,4,0),"")</f>
      </c>
      <c r="K20" s="195">
        <f>IF(INFO!B$8&gt;5,VLOOKUP(L20,'Clb Q (2)'!I$19:O$23,5,0),"")</f>
      </c>
      <c r="L20" s="192">
        <f>IF(INFO!B$8&gt;5,LARGE('Clb Q (2)'!I$19:I$23,1),"")</f>
      </c>
      <c r="M20" s="176"/>
    </row>
    <row r="21" spans="1:13" ht="21.75" customHeight="1">
      <c r="A21" s="205"/>
      <c r="B21" s="192" t="str">
        <f>IF(INFO!B$8&gt;2,VLOOKUP(F21,'Clb Q (2)'!A$19:G$23,2,0),"")</f>
        <v>VERDURE Valentine</v>
      </c>
      <c r="C21" s="193">
        <f>IF(INFO!B$8&gt;2,VLOOKUP(F21,'Clb Q (2)'!A$19:G$23,3,0),"")</f>
        <v>97.7</v>
      </c>
      <c r="D21" s="194">
        <f>IF(INFO!B$8&gt;2,VLOOKUP(F21,'Clb Q (2)'!A$19:G$23,4,0),"")</f>
        <v>93.6</v>
      </c>
      <c r="E21" s="195">
        <f>IF(INFO!B$8&gt;2,VLOOKUP(F21,'Clb Q (2)'!A$19:G$23,5,0),"")</f>
        <v>95.1</v>
      </c>
      <c r="F21" s="192">
        <f>IF(INFO!B$8&gt;2,LARGE('Clb Q (2)'!A$19:A$23,2),"")</f>
        <v>286.40000951935997</v>
      </c>
      <c r="G21" s="176"/>
      <c r="H21" s="192">
        <f>IF(INFO!B$8&gt;5,VLOOKUP(L21,'Clb Q (2)'!I$19:O$23,2,0),"")</f>
      </c>
      <c r="I21" s="193">
        <f>IF(INFO!B$8&gt;5,VLOOKUP(L21,'Clb Q (2)'!I$19:O$23,3,0),"")</f>
      </c>
      <c r="J21" s="194">
        <f>IF(INFO!B$8&gt;5,VLOOKUP(L21,'Clb Q (2)'!I$19:O$23,4,0),"")</f>
      </c>
      <c r="K21" s="195">
        <f>IF(INFO!B$8&gt;5,VLOOKUP(L21,'Clb Q (2)'!I$19:O$23,5,0),"")</f>
      </c>
      <c r="L21" s="192">
        <f>IF(INFO!B$8&gt;5,LARGE('Clb Q (2)'!I$19:I$23,2),"")</f>
      </c>
      <c r="M21" s="176"/>
    </row>
    <row r="22" spans="1:13" ht="21.75" customHeight="1">
      <c r="A22" s="205"/>
      <c r="B22" s="192" t="str">
        <f>IF(INFO!B$8&gt;2,VLOOKUP(F22,'Clb Q (2)'!A$19:G$23,2,0),"")</f>
        <v>GOURIET Nicolas</v>
      </c>
      <c r="C22" s="193">
        <f>IF(INFO!B$8&gt;2,VLOOKUP(F22,'Clb Q (2)'!A$19:G$23,3,0),"")</f>
        <v>88.4</v>
      </c>
      <c r="D22" s="194">
        <f>IF(INFO!B$8&gt;2,VLOOKUP(F22,'Clb Q (2)'!A$19:G$23,4,0),"")</f>
        <v>88</v>
      </c>
      <c r="E22" s="195">
        <f>IF(INFO!B$8&gt;2,VLOOKUP(F22,'Clb Q (2)'!A$19:G$23,5,0),"")</f>
        <v>94.4</v>
      </c>
      <c r="F22" s="192">
        <f>IF(INFO!B$8&gt;2,LARGE('Clb Q (2)'!A$19:A$23,3),"")</f>
        <v>270.8000094488</v>
      </c>
      <c r="G22" s="176"/>
      <c r="H22" s="192">
        <f>IF(INFO!B$8&gt;5,VLOOKUP(L22,'Clb Q (2)'!I$19:O$23,2,0),"")</f>
      </c>
      <c r="I22" s="193">
        <f>IF(INFO!B$8&gt;5,VLOOKUP(L22,'Clb Q (2)'!I$19:O$23,3,0),"")</f>
      </c>
      <c r="J22" s="194">
        <f>IF(INFO!B$8&gt;5,VLOOKUP(L22,'Clb Q (2)'!I$19:O$23,4,0),"")</f>
      </c>
      <c r="K22" s="195">
        <f>IF(INFO!B$8&gt;5,VLOOKUP(L22,'Clb Q (2)'!I$19:O$23,5,0),"")</f>
      </c>
      <c r="L22" s="192">
        <f>IF(INFO!B$8&gt;5,LARGE('Clb Q (2)'!I$19:I$23,3),"")</f>
      </c>
      <c r="M22" s="176"/>
    </row>
    <row r="23" spans="1:13" ht="21.75" customHeight="1">
      <c r="A23" s="205"/>
      <c r="B23" s="192" t="str">
        <f>IF(INFO!B$8&gt;2,VLOOKUP(F23,'Clb Q (2)'!A$19:G$23,2,0),"")</f>
        <v>DELILLE Théo</v>
      </c>
      <c r="C23" s="193">
        <f>IF(INFO!B$8&gt;2,VLOOKUP(F23,'Clb Q (2)'!A$19:G$23,3,0),"")</f>
        <v>90.1</v>
      </c>
      <c r="D23" s="194">
        <f>IF(INFO!B$8&gt;2,VLOOKUP(F23,'Clb Q (2)'!A$19:G$23,4,0),"")</f>
        <v>80.7</v>
      </c>
      <c r="E23" s="195">
        <f>IF(INFO!B$8&gt;2,VLOOKUP(F23,'Clb Q (2)'!A$19:G$23,5,0),"")</f>
        <v>80.2</v>
      </c>
      <c r="F23" s="192">
        <f>IF(INFO!B$8&gt;2,LARGE('Clb Q (2)'!A$19:A$23,4),"")</f>
        <v>251.00000802807</v>
      </c>
      <c r="G23" s="176"/>
      <c r="H23" s="192">
        <f>IF(INFO!B$8&gt;5,VLOOKUP(L23,'Clb Q (2)'!I$19:O$23,2,0),"")</f>
      </c>
      <c r="I23" s="193">
        <f>IF(INFO!B$8&gt;5,VLOOKUP(L23,'Clb Q (2)'!I$19:O$23,3,0),"")</f>
      </c>
      <c r="J23" s="194">
        <f>IF(INFO!B$8&gt;5,VLOOKUP(L23,'Clb Q (2)'!I$19:O$23,4,0),"")</f>
      </c>
      <c r="K23" s="195">
        <f>IF(INFO!B$8&gt;5,VLOOKUP(L23,'Clb Q (2)'!I$19:O$23,5,0),"")</f>
      </c>
      <c r="L23" s="192">
        <f>IF(INFO!B$8&gt;5,LARGE('Clb Q (2)'!I$19:I$23,4),"")</f>
      </c>
      <c r="M23" s="176"/>
    </row>
    <row r="24" spans="1:13" ht="21.75" customHeight="1">
      <c r="A24" s="205"/>
      <c r="B24" s="199" t="str">
        <f>IF(INFO!B$8&gt;2,VLOOKUP(F24,'Clb Q (2)'!A$19:G$23,2,0),"")</f>
        <v>NOE Pierre</v>
      </c>
      <c r="C24" s="178">
        <f>IF(INFO!B$8&gt;2,VLOOKUP(F24,'Clb Q (2)'!A$19:G$23,3,0),"")</f>
        <v>70.1</v>
      </c>
      <c r="D24" s="200">
        <f>IF(INFO!B$8&gt;2,VLOOKUP(F24,'Clb Q (2)'!A$19:G$23,4,0),"")</f>
        <v>60.1</v>
      </c>
      <c r="E24" s="201">
        <f>IF(INFO!B$8&gt;2,VLOOKUP(F24,'Clb Q (2)'!A$19:G$23,5,0),"")</f>
        <v>66.8</v>
      </c>
      <c r="F24" s="199">
        <f>IF(INFO!B$8&gt;2,LARGE('Clb Q (2)'!A$19:A$23,5),"")</f>
        <v>197.00000668601</v>
      </c>
      <c r="G24" s="176"/>
      <c r="H24" s="199">
        <f>IF(INFO!B$8&gt;5,VLOOKUP(L24,'Clb Q (2)'!I$19:O$23,2,0),"")</f>
      </c>
      <c r="I24" s="178">
        <f>IF(INFO!B$8&gt;5,VLOOKUP(L24,'Clb Q (2)'!I$19:O$23,3,0),"")</f>
      </c>
      <c r="J24" s="200">
        <f>IF(INFO!B$8&gt;5,VLOOKUP(L24,'Clb Q (2)'!I$19:O$23,4,0),"")</f>
      </c>
      <c r="K24" s="201">
        <f>IF(INFO!B$8&gt;5,VLOOKUP(L24,'Clb Q (2)'!I$19:O$23,5,0),"")</f>
      </c>
      <c r="L24" s="199">
        <f>IF(INFO!B$8&gt;5,LARGE('Clb Q (2)'!I$19:I$23,5),"")</f>
      </c>
      <c r="M24" s="176"/>
    </row>
    <row r="25" spans="1:13" ht="21.75" customHeight="1">
      <c r="A25" s="207"/>
      <c r="B25" s="204"/>
      <c r="C25" s="176"/>
      <c r="D25" s="176"/>
      <c r="E25" s="176"/>
      <c r="F25" s="204"/>
      <c r="G25" s="176"/>
      <c r="H25" s="204"/>
      <c r="I25" s="176"/>
      <c r="J25" s="176"/>
      <c r="K25" s="176"/>
      <c r="L25" s="204"/>
      <c r="M25" s="176"/>
    </row>
    <row r="26" spans="1:13" ht="21.75" customHeight="1">
      <c r="A26" s="207"/>
      <c r="B26" s="177">
        <f>IF(INFO!B8&gt;3,"CLUB N°4","")</f>
      </c>
      <c r="C26" s="178">
        <f>IF(INFO!B8&gt;3,'Clb Q (2)'!C25,"")</f>
      </c>
      <c r="D26" s="178"/>
      <c r="E26" s="178"/>
      <c r="F26" s="179">
        <f>IF(INFO!B8&gt;3,'Clb Q (2)'!F25,"")</f>
      </c>
      <c r="G26" s="176"/>
      <c r="H26" s="177">
        <f>IF(INFO!B8&gt;4,"CLUB N°5","")</f>
      </c>
      <c r="I26" s="178">
        <f>IF(INFO!B8&gt;4,'Clb Q (2)'!K25,"")</f>
      </c>
      <c r="J26" s="178"/>
      <c r="K26" s="178"/>
      <c r="L26" s="179">
        <f>IF(INFO!B8&gt;4,'Clb Q (2)'!N25,"")</f>
      </c>
      <c r="M26" s="176"/>
    </row>
    <row r="27" spans="1:13" ht="21.75" customHeight="1">
      <c r="A27" s="205"/>
      <c r="B27" s="177" t="s">
        <v>61</v>
      </c>
      <c r="C27" s="185" t="s">
        <v>62</v>
      </c>
      <c r="D27" s="186" t="s">
        <v>63</v>
      </c>
      <c r="E27" s="187" t="s">
        <v>64</v>
      </c>
      <c r="F27" s="177" t="s">
        <v>65</v>
      </c>
      <c r="G27" s="176"/>
      <c r="H27" s="177" t="s">
        <v>61</v>
      </c>
      <c r="I27" s="185" t="s">
        <v>62</v>
      </c>
      <c r="J27" s="186" t="s">
        <v>63</v>
      </c>
      <c r="K27" s="187" t="s">
        <v>64</v>
      </c>
      <c r="L27" s="177" t="s">
        <v>65</v>
      </c>
      <c r="M27" s="176"/>
    </row>
    <row r="28" spans="1:13" ht="21.75" customHeight="1">
      <c r="A28" s="205"/>
      <c r="B28" s="192">
        <f>IF(INFO!B$8&gt;3,VLOOKUP(F28,'Clb Q (2)'!A$27:G$31,2,0),"")</f>
      </c>
      <c r="C28" s="193">
        <f>IF(INFO!B$8&gt;3,VLOOKUP(F28,'Clb Q (2)'!A$27:G$31,3,0),"")</f>
      </c>
      <c r="D28" s="194">
        <f>IF(INFO!B$8&gt;3,VLOOKUP(F28,'Clb Q (2)'!A$27:G$31,4,0),"")</f>
      </c>
      <c r="E28" s="195">
        <f>IF(INFO!B$8&gt;3,VLOOKUP(F28,'Clb Q (2)'!A$27:G$31,5,0),"")</f>
      </c>
      <c r="F28" s="192">
        <f>IF(INFO!B$8&gt;3,LARGE('Clb Q (2)'!A$27:A$31,1),"")</f>
      </c>
      <c r="G28" s="176"/>
      <c r="H28" s="192">
        <f>IF(INFO!B$8&gt;4,VLOOKUP(L28,'Clb Q (2)'!I$27:O$31,2,0),"")</f>
      </c>
      <c r="I28" s="193">
        <f>IF(INFO!B$8&gt;4,VLOOKUP(L28,'Clb Q (2)'!I$27:O$31,3,0),"")</f>
      </c>
      <c r="J28" s="194">
        <f>IF(INFO!B$8&gt;4,VLOOKUP(L28,'Clb Q (2)'!I$27:O$31,4,0),"")</f>
      </c>
      <c r="K28" s="195">
        <f>IF(INFO!B$8&gt;4,VLOOKUP(L28,'Clb Q (2)'!I$27:O$31,5,0),"")</f>
      </c>
      <c r="L28" s="192">
        <f>IF(INFO!B$8&gt;4,LARGE('Clb Q (2)'!I$27:I$31,1),"")</f>
      </c>
      <c r="M28" s="176"/>
    </row>
    <row r="29" spans="1:13" ht="21.75" customHeight="1">
      <c r="A29" s="205"/>
      <c r="B29" s="192">
        <f>IF(INFO!B$8&gt;3,VLOOKUP(F29,'Clb Q (2)'!A$27:G$31,2,0),"")</f>
      </c>
      <c r="C29" s="193">
        <f>IF(INFO!B$8&gt;3,VLOOKUP(F29,'Clb Q (2)'!A$27:G$31,3,0),"")</f>
      </c>
      <c r="D29" s="194">
        <f>IF(INFO!B$8&gt;3,VLOOKUP(F29,'Clb Q (2)'!A$27:G$31,4,0),"")</f>
      </c>
      <c r="E29" s="195">
        <f>IF(INFO!B$8&gt;3,VLOOKUP(F29,'Clb Q (2)'!A$27:G$31,5,0),"")</f>
      </c>
      <c r="F29" s="192">
        <f>IF(INFO!B$8&gt;3,LARGE('Clb Q (2)'!A$27:A$31,2),"")</f>
      </c>
      <c r="G29" s="176"/>
      <c r="H29" s="192">
        <f>IF(INFO!B$8&gt;4,VLOOKUP(L29,'Clb Q (2)'!I$27:O$31,2,0),"")</f>
      </c>
      <c r="I29" s="193">
        <f>IF(INFO!B$8&gt;4,VLOOKUP(L29,'Clb Q (2)'!I$27:O$31,3,0),"")</f>
      </c>
      <c r="J29" s="194">
        <f>IF(INFO!B$8&gt;4,VLOOKUP(L29,'Clb Q (2)'!I$27:O$31,4,0),"")</f>
      </c>
      <c r="K29" s="195">
        <f>IF(INFO!B$8&gt;4,VLOOKUP(L29,'Clb Q (2)'!I$27:O$31,5,0),"")</f>
      </c>
      <c r="L29" s="192">
        <f>IF(INFO!B$8&gt;4,LARGE('Clb Q (2)'!I$27:I$31,2),"")</f>
      </c>
      <c r="M29" s="176"/>
    </row>
    <row r="30" spans="1:13" ht="21.75" customHeight="1">
      <c r="A30" s="205"/>
      <c r="B30" s="192">
        <f>IF(INFO!B$8&gt;3,VLOOKUP(F30,'Clb Q (2)'!A$27:G$31,2,0),"")</f>
      </c>
      <c r="C30" s="193">
        <f>IF(INFO!B$8&gt;3,VLOOKUP(F30,'Clb Q (2)'!A$27:G$31,3,0),"")</f>
      </c>
      <c r="D30" s="194">
        <f>IF(INFO!B$8&gt;3,VLOOKUP(F30,'Clb Q (2)'!A$27:G$31,4,0),"")</f>
      </c>
      <c r="E30" s="195">
        <f>IF(INFO!B$8&gt;3,VLOOKUP(F30,'Clb Q (2)'!A$27:G$31,5,0),"")</f>
      </c>
      <c r="F30" s="192">
        <f>IF(INFO!B$8&gt;3,LARGE('Clb Q (2)'!A$27:A$31,3),"")</f>
      </c>
      <c r="G30" s="176"/>
      <c r="H30" s="192">
        <f>IF(INFO!B$8&gt;4,VLOOKUP(L30,'Clb Q (2)'!I$27:O$31,2,0),"")</f>
      </c>
      <c r="I30" s="193">
        <f>IF(INFO!B$8&gt;4,VLOOKUP(L30,'Clb Q (2)'!I$27:O$31,3,0),"")</f>
      </c>
      <c r="J30" s="194">
        <f>IF(INFO!B$8&gt;4,VLOOKUP(L30,'Clb Q (2)'!I$27:O$31,4,0),"")</f>
      </c>
      <c r="K30" s="195">
        <f>IF(INFO!B$8&gt;4,VLOOKUP(L30,'Clb Q (2)'!I$27:O$31,5,0),"")</f>
      </c>
      <c r="L30" s="192">
        <f>IF(INFO!B$8&gt;4,LARGE('Clb Q (2)'!I$27:I$31,3),"")</f>
      </c>
      <c r="M30" s="176"/>
    </row>
    <row r="31" spans="1:13" ht="21.75" customHeight="1">
      <c r="A31" s="205"/>
      <c r="B31" s="192">
        <f>IF(INFO!B$8&gt;3,VLOOKUP(F31,'Clb Q (2)'!A$27:G$31,2,0),"")</f>
      </c>
      <c r="C31" s="193">
        <f>IF(INFO!B$8&gt;3,VLOOKUP(F31,'Clb Q (2)'!A$27:G$31,3,0),"")</f>
      </c>
      <c r="D31" s="194">
        <f>IF(INFO!B$8&gt;3,VLOOKUP(F31,'Clb Q (2)'!A$27:G$31,4,0),"")</f>
      </c>
      <c r="E31" s="195">
        <f>IF(INFO!B$8&gt;3,VLOOKUP(F31,'Clb Q (2)'!A$27:G$31,5,0),"")</f>
      </c>
      <c r="F31" s="192">
        <f>IF(INFO!B$8&gt;3,LARGE('Clb Q (2)'!A$27:A$31,4),"")</f>
      </c>
      <c r="G31" s="176"/>
      <c r="H31" s="192">
        <f>IF(INFO!B$8&gt;4,VLOOKUP(L31,'Clb Q (2)'!I$27:O$31,2,0),"")</f>
      </c>
      <c r="I31" s="193">
        <f>IF(INFO!B$8&gt;4,VLOOKUP(L31,'Clb Q (2)'!I$27:O$31,3,0),"")</f>
      </c>
      <c r="J31" s="194">
        <f>IF(INFO!B$8&gt;4,VLOOKUP(L31,'Clb Q (2)'!I$27:O$31,4,0),"")</f>
      </c>
      <c r="K31" s="195">
        <f>IF(INFO!B$8&gt;4,VLOOKUP(L31,'Clb Q (2)'!I$27:O$31,5,0),"")</f>
      </c>
      <c r="L31" s="192">
        <f>IF(INFO!B$8&gt;4,LARGE('Clb Q (2)'!I$27:I$31,4),"")</f>
      </c>
      <c r="M31" s="176"/>
    </row>
    <row r="32" spans="1:13" ht="21.75" customHeight="1">
      <c r="A32" s="205"/>
      <c r="B32" s="199">
        <f>IF(INFO!B$8&gt;3,VLOOKUP(F32,'Clb Q (2)'!A$27:G$31,2,0),"")</f>
      </c>
      <c r="C32" s="178">
        <f>IF(INFO!B$8&gt;3,VLOOKUP(F32,'Clb Q (2)'!A$27:G$31,3,0),"")</f>
      </c>
      <c r="D32" s="200">
        <f>IF(INFO!B$8&gt;3,VLOOKUP(F32,'Clb Q (2)'!A$27:G$31,4,0),"")</f>
      </c>
      <c r="E32" s="201">
        <f>IF(INFO!B$8&gt;3,VLOOKUP(F32,'Clb Q (2)'!A$27:G$31,5,0),"")</f>
      </c>
      <c r="F32" s="199">
        <f>IF(INFO!B$8&gt;3,LARGE('Clb Q (2)'!A$27:A$31,5),"")</f>
      </c>
      <c r="G32" s="176"/>
      <c r="H32" s="199">
        <f>IF(INFO!B$8&gt;4,VLOOKUP(L32,'Clb Q (2)'!I$27:O$31,2,0),"")</f>
      </c>
      <c r="I32" s="178">
        <f>IF(INFO!B$8&gt;4,VLOOKUP(L32,'Clb Q (2)'!I$27:O$31,3,0),"")</f>
      </c>
      <c r="J32" s="200">
        <f>IF(INFO!B$8&gt;4,VLOOKUP(L32,'Clb Q (2)'!I$27:O$31,4,0),"")</f>
      </c>
      <c r="K32" s="201">
        <f>IF(INFO!B$8&gt;4,VLOOKUP(L32,'Clb Q (2)'!I$27:O$31,5,0),"")</f>
      </c>
      <c r="L32" s="199">
        <f>IF(INFO!B$8&gt;4,LARGE('Clb Q (2)'!I$27:I$31,5),"")</f>
      </c>
      <c r="M32" s="176"/>
    </row>
  </sheetData>
  <sheetProtection sheet="1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IV65536">
    <cfRule type="cellIs" priority="1" dxfId="0" operator="equal" stopIfTrue="1">
      <formula>0</formula>
    </cfRule>
    <cfRule type="expression" priority="2" dxfId="0" stopIfTrue="1">
      <formula>ISERROR(A1)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80" zoomScaleNormal="80" workbookViewId="0" topLeftCell="A1">
      <pane ySplit="3" topLeftCell="A50" activePane="bottomLeft" state="frozen"/>
      <selection pane="topLeft" activeCell="A1" sqref="A1"/>
      <selection pane="bottomLeft" activeCell="U42" sqref="U42"/>
    </sheetView>
  </sheetViews>
  <sheetFormatPr defaultColWidth="9.140625" defaultRowHeight="27.75" customHeight="1" outlineLevelRow="1"/>
  <cols>
    <col min="1" max="2" width="9.28125" style="208" customWidth="1"/>
    <col min="3" max="3" width="12.140625" style="208" customWidth="1"/>
    <col min="4" max="5" width="9.28125" style="208" customWidth="1"/>
    <col min="6" max="7" width="7.57421875" style="208" customWidth="1"/>
    <col min="8" max="9" width="9.28125" style="208" customWidth="1"/>
    <col min="10" max="10" width="12.140625" style="208" customWidth="1"/>
    <col min="11" max="12" width="7.57421875" style="208" customWidth="1"/>
    <col min="13" max="13" width="12.140625" style="208" customWidth="1"/>
    <col min="14" max="15" width="9.28125" style="208" customWidth="1"/>
    <col min="16" max="17" width="7.57421875" style="208" customWidth="1"/>
    <col min="18" max="19" width="9.28125" style="208" customWidth="1"/>
    <col min="20" max="20" width="12.140625" style="208" customWidth="1"/>
    <col min="21" max="16384" width="9.28125" style="208" customWidth="1"/>
  </cols>
  <sheetData>
    <row r="1" ht="28.5" customHeight="1">
      <c r="A1" s="209"/>
    </row>
    <row r="2" spans="1:21" ht="60.75" customHeight="1">
      <c r="A2" s="209"/>
      <c r="B2" s="210" t="str">
        <f>CONCATENATE(INFO!B7," - ",INFO!B9)</f>
        <v>CARABINE - ARDENNES (CHAMPAGNE)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28.5" customHeight="1">
      <c r="A3" s="20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60" customHeight="1">
      <c r="A4" s="209"/>
      <c r="B4" s="212" t="s">
        <v>68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0" s="214" customFormat="1" ht="27.75" customHeight="1">
      <c r="A5" s="213"/>
      <c r="C5" s="215" t="str">
        <f>'Clb Q'!C2</f>
        <v>LA MOUCHE REMILLY</v>
      </c>
      <c r="D5" s="215"/>
      <c r="E5" s="215"/>
      <c r="F5" s="216" t="s">
        <v>24</v>
      </c>
      <c r="G5" s="216"/>
      <c r="H5" s="217">
        <f>'Clb Q'!I2</f>
      </c>
      <c r="I5" s="217"/>
      <c r="J5" s="217"/>
      <c r="K5" s="218"/>
      <c r="L5" s="219"/>
      <c r="M5" s="217" t="str">
        <f>'Clb Q'!C18</f>
        <v>USTIR CHARLEVILLE</v>
      </c>
      <c r="N5" s="217"/>
      <c r="O5" s="217"/>
      <c r="P5" s="220" t="s">
        <v>24</v>
      </c>
      <c r="Q5" s="220"/>
      <c r="R5" s="217">
        <f>'Clb Q'!I18</f>
      </c>
      <c r="S5" s="217"/>
      <c r="T5" s="217"/>
    </row>
    <row r="6" spans="1:20" s="222" customFormat="1" ht="21.75" customHeight="1" outlineLevel="1">
      <c r="A6" s="221"/>
      <c r="C6" s="223" t="str">
        <f>'Clb Q'!B4</f>
        <v>ETIENNE Doreen</v>
      </c>
      <c r="D6" s="223"/>
      <c r="E6" s="223"/>
      <c r="F6" s="224">
        <v>1</v>
      </c>
      <c r="G6" s="225">
        <v>2</v>
      </c>
      <c r="H6" s="226">
        <f>'Clb Q'!H4</f>
      </c>
      <c r="I6" s="226"/>
      <c r="J6" s="226"/>
      <c r="K6" s="227"/>
      <c r="L6" s="228"/>
      <c r="M6" s="226" t="str">
        <f>'Clb Q'!B20</f>
        <v>PROFICET Quentin</v>
      </c>
      <c r="N6" s="226"/>
      <c r="O6" s="226"/>
      <c r="P6" s="229">
        <v>1</v>
      </c>
      <c r="Q6" s="230">
        <v>2</v>
      </c>
      <c r="R6" s="226">
        <f>'Clb Q'!H20</f>
      </c>
      <c r="S6" s="226"/>
      <c r="T6" s="226"/>
    </row>
    <row r="7" spans="1:20" s="222" customFormat="1" ht="21.75" customHeight="1" outlineLevel="1">
      <c r="A7" s="221"/>
      <c r="C7" s="223" t="str">
        <f>'Clb Q'!B5</f>
        <v>GOHLKE Alexandra</v>
      </c>
      <c r="D7" s="223"/>
      <c r="E7" s="223"/>
      <c r="F7" s="231">
        <v>3</v>
      </c>
      <c r="G7" s="232">
        <v>4</v>
      </c>
      <c r="H7" s="226">
        <f>'Clb Q'!H5</f>
      </c>
      <c r="I7" s="226"/>
      <c r="J7" s="226"/>
      <c r="K7" s="227"/>
      <c r="L7" s="228"/>
      <c r="M7" s="226" t="str">
        <f>'Clb Q'!B21</f>
        <v>VERDURE Valentine</v>
      </c>
      <c r="N7" s="226"/>
      <c r="O7" s="226"/>
      <c r="P7" s="233">
        <v>3</v>
      </c>
      <c r="Q7" s="234">
        <v>4</v>
      </c>
      <c r="R7" s="226">
        <f>'Clb Q'!H21</f>
      </c>
      <c r="S7" s="226"/>
      <c r="T7" s="226"/>
    </row>
    <row r="8" spans="1:20" s="222" customFormat="1" ht="21.75" customHeight="1" outlineLevel="1">
      <c r="A8" s="221"/>
      <c r="C8" s="223" t="str">
        <f>'Clb Q'!B6</f>
        <v>COUSTEIX Crystale</v>
      </c>
      <c r="D8" s="223"/>
      <c r="E8" s="223"/>
      <c r="F8" s="231">
        <v>5</v>
      </c>
      <c r="G8" s="232">
        <v>6</v>
      </c>
      <c r="H8" s="226">
        <f>'Clb Q'!H6</f>
      </c>
      <c r="I8" s="226"/>
      <c r="J8" s="226"/>
      <c r="K8" s="227"/>
      <c r="L8" s="228"/>
      <c r="M8" s="226" t="str">
        <f>'Clb Q'!B22</f>
        <v>GOURIET Nicolas</v>
      </c>
      <c r="N8" s="226"/>
      <c r="O8" s="226"/>
      <c r="P8" s="233">
        <v>5</v>
      </c>
      <c r="Q8" s="234">
        <v>6</v>
      </c>
      <c r="R8" s="226">
        <f>'Clb Q'!H22</f>
      </c>
      <c r="S8" s="226"/>
      <c r="T8" s="226"/>
    </row>
    <row r="9" spans="1:20" s="222" customFormat="1" ht="21.75" customHeight="1" outlineLevel="1">
      <c r="A9" s="221"/>
      <c r="C9" s="223" t="str">
        <f>'Clb Q'!B7</f>
        <v>BISTON Mélissa</v>
      </c>
      <c r="D9" s="223"/>
      <c r="E9" s="223"/>
      <c r="F9" s="231">
        <v>7</v>
      </c>
      <c r="G9" s="232">
        <v>8</v>
      </c>
      <c r="H9" s="226">
        <f>'Clb Q'!H7</f>
      </c>
      <c r="I9" s="226"/>
      <c r="J9" s="226"/>
      <c r="K9" s="227"/>
      <c r="L9" s="228"/>
      <c r="M9" s="226" t="str">
        <f>'Clb Q'!B23</f>
        <v>DELILLE Théo</v>
      </c>
      <c r="N9" s="226"/>
      <c r="O9" s="226"/>
      <c r="P9" s="233">
        <v>7</v>
      </c>
      <c r="Q9" s="234">
        <v>8</v>
      </c>
      <c r="R9" s="226">
        <f>'Clb Q'!H23</f>
      </c>
      <c r="S9" s="226"/>
      <c r="T9" s="226"/>
    </row>
    <row r="10" spans="1:20" s="222" customFormat="1" ht="21.75" customHeight="1" outlineLevel="1">
      <c r="A10" s="221"/>
      <c r="C10" s="223" t="str">
        <f>'Clb Q'!B8</f>
        <v>MORGEON Christelle</v>
      </c>
      <c r="D10" s="223"/>
      <c r="E10" s="223"/>
      <c r="F10" s="235">
        <v>9</v>
      </c>
      <c r="G10" s="236">
        <v>10</v>
      </c>
      <c r="H10" s="226">
        <f>'Clb Q'!H8</f>
      </c>
      <c r="I10" s="226"/>
      <c r="J10" s="226"/>
      <c r="K10" s="227"/>
      <c r="L10" s="228"/>
      <c r="M10" s="226" t="str">
        <f>'Clb Q'!B24</f>
        <v>NOE Pierre</v>
      </c>
      <c r="N10" s="226"/>
      <c r="O10" s="226"/>
      <c r="P10" s="237">
        <v>9</v>
      </c>
      <c r="Q10" s="238">
        <v>10</v>
      </c>
      <c r="R10" s="226">
        <f>'Clb Q'!H24</f>
      </c>
      <c r="S10" s="226"/>
      <c r="T10" s="226"/>
    </row>
    <row r="11" spans="2:22" ht="21.75" customHeight="1">
      <c r="B11" s="239">
        <f aca="true" t="shared" si="0" ref="B11:B17">IF(E11="","",IF(E11&gt;2,1,0))</f>
      </c>
      <c r="C11" s="240">
        <f>IF(E11="","",SUM(B11:B17))</f>
      </c>
      <c r="D11" s="240"/>
      <c r="E11" s="241"/>
      <c r="F11" s="242"/>
      <c r="G11" s="242"/>
      <c r="H11" s="243"/>
      <c r="I11" s="244">
        <f>IF(H11="","",SUM(K11:K17))</f>
      </c>
      <c r="J11" s="244"/>
      <c r="K11" s="245">
        <f aca="true" t="shared" si="1" ref="K11:K17">IF(H11="","",IF(H11&gt;2,1,0))</f>
      </c>
      <c r="L11" s="246">
        <f aca="true" t="shared" si="2" ref="L11:L17">IF(O11="","",IF(O11&gt;2,1,0))</f>
      </c>
      <c r="M11" s="247">
        <f>IF(O11="","",SUM(L11:L17))</f>
      </c>
      <c r="N11" s="247"/>
      <c r="O11" s="243"/>
      <c r="P11" s="248"/>
      <c r="Q11" s="248"/>
      <c r="R11" s="243"/>
      <c r="S11" s="249">
        <f>IF(R11="","",SUM(U11:U17))</f>
      </c>
      <c r="T11" s="249"/>
      <c r="U11" s="250">
        <f aca="true" t="shared" si="3" ref="U11:U17">IF(R11="","",IF(R11&gt;2,1,0))</f>
      </c>
      <c r="V11" s="251"/>
    </row>
    <row r="12" spans="2:22" ht="21.75" customHeight="1">
      <c r="B12" s="239">
        <f t="shared" si="0"/>
      </c>
      <c r="C12" s="240"/>
      <c r="D12" s="240"/>
      <c r="E12" s="252"/>
      <c r="F12" s="253"/>
      <c r="G12" s="253"/>
      <c r="H12" s="254"/>
      <c r="I12" s="244"/>
      <c r="J12" s="244"/>
      <c r="K12" s="245">
        <f t="shared" si="1"/>
      </c>
      <c r="L12" s="246">
        <f t="shared" si="2"/>
      </c>
      <c r="M12" s="247"/>
      <c r="N12" s="247"/>
      <c r="O12" s="254"/>
      <c r="P12" s="255"/>
      <c r="Q12" s="255"/>
      <c r="R12" s="254"/>
      <c r="S12" s="249"/>
      <c r="T12" s="249"/>
      <c r="U12" s="250">
        <f t="shared" si="3"/>
      </c>
      <c r="V12" s="251"/>
    </row>
    <row r="13" spans="2:22" ht="21.75" customHeight="1">
      <c r="B13" s="239">
        <f t="shared" si="0"/>
      </c>
      <c r="C13" s="240"/>
      <c r="D13" s="240"/>
      <c r="E13" s="252"/>
      <c r="F13" s="253"/>
      <c r="G13" s="253"/>
      <c r="H13" s="254"/>
      <c r="I13" s="244"/>
      <c r="J13" s="244"/>
      <c r="K13" s="245">
        <f t="shared" si="1"/>
      </c>
      <c r="L13" s="246">
        <f t="shared" si="2"/>
      </c>
      <c r="M13" s="247"/>
      <c r="N13" s="247"/>
      <c r="O13" s="254"/>
      <c r="P13" s="255"/>
      <c r="Q13" s="255"/>
      <c r="R13" s="254"/>
      <c r="S13" s="249"/>
      <c r="T13" s="249"/>
      <c r="U13" s="250">
        <f t="shared" si="3"/>
      </c>
      <c r="V13" s="251"/>
    </row>
    <row r="14" spans="2:22" ht="21.75" customHeight="1">
      <c r="B14" s="239">
        <f t="shared" si="0"/>
      </c>
      <c r="C14" s="240"/>
      <c r="D14" s="240"/>
      <c r="E14" s="252"/>
      <c r="F14" s="253"/>
      <c r="G14" s="253"/>
      <c r="H14" s="254"/>
      <c r="I14" s="244"/>
      <c r="J14" s="244"/>
      <c r="K14" s="245">
        <f t="shared" si="1"/>
      </c>
      <c r="L14" s="246">
        <f t="shared" si="2"/>
      </c>
      <c r="M14" s="247"/>
      <c r="N14" s="247"/>
      <c r="O14" s="254"/>
      <c r="P14" s="255"/>
      <c r="Q14" s="255"/>
      <c r="R14" s="254"/>
      <c r="S14" s="249"/>
      <c r="T14" s="249"/>
      <c r="U14" s="250">
        <f t="shared" si="3"/>
      </c>
      <c r="V14" s="251"/>
    </row>
    <row r="15" spans="2:22" ht="21.75" customHeight="1">
      <c r="B15" s="239">
        <f t="shared" si="0"/>
      </c>
      <c r="C15" s="240"/>
      <c r="D15" s="240"/>
      <c r="E15" s="252"/>
      <c r="F15" s="253"/>
      <c r="G15" s="253"/>
      <c r="H15" s="254"/>
      <c r="I15" s="244"/>
      <c r="J15" s="244"/>
      <c r="K15" s="245">
        <f t="shared" si="1"/>
      </c>
      <c r="L15" s="246">
        <f t="shared" si="2"/>
      </c>
      <c r="M15" s="247"/>
      <c r="N15" s="247"/>
      <c r="O15" s="254"/>
      <c r="P15" s="255"/>
      <c r="Q15" s="255"/>
      <c r="R15" s="254"/>
      <c r="S15" s="249"/>
      <c r="T15" s="249"/>
      <c r="U15" s="250">
        <f t="shared" si="3"/>
      </c>
      <c r="V15" s="251"/>
    </row>
    <row r="16" spans="2:22" ht="21.75" customHeight="1">
      <c r="B16" s="239">
        <f t="shared" si="0"/>
      </c>
      <c r="C16" s="240"/>
      <c r="D16" s="240"/>
      <c r="E16" s="252"/>
      <c r="F16" s="253"/>
      <c r="G16" s="253"/>
      <c r="H16" s="254"/>
      <c r="I16" s="244"/>
      <c r="J16" s="244"/>
      <c r="K16" s="245">
        <f t="shared" si="1"/>
      </c>
      <c r="L16" s="246">
        <f t="shared" si="2"/>
      </c>
      <c r="M16" s="247"/>
      <c r="N16" s="247"/>
      <c r="O16" s="254"/>
      <c r="P16" s="255"/>
      <c r="Q16" s="255"/>
      <c r="R16" s="254"/>
      <c r="S16" s="249"/>
      <c r="T16" s="249"/>
      <c r="U16" s="250">
        <f t="shared" si="3"/>
      </c>
      <c r="V16" s="251"/>
    </row>
    <row r="17" spans="2:22" ht="21.75" customHeight="1">
      <c r="B17" s="239">
        <f t="shared" si="0"/>
      </c>
      <c r="C17" s="240"/>
      <c r="D17" s="240"/>
      <c r="E17" s="256"/>
      <c r="F17" s="253"/>
      <c r="G17" s="253"/>
      <c r="H17" s="257"/>
      <c r="I17" s="244"/>
      <c r="J17" s="244"/>
      <c r="K17" s="245">
        <f t="shared" si="1"/>
      </c>
      <c r="L17" s="246">
        <f t="shared" si="2"/>
      </c>
      <c r="M17" s="247"/>
      <c r="N17" s="247"/>
      <c r="O17" s="257"/>
      <c r="P17" s="255"/>
      <c r="Q17" s="255"/>
      <c r="R17" s="257"/>
      <c r="S17" s="249"/>
      <c r="T17" s="249"/>
      <c r="U17" s="250">
        <f t="shared" si="3"/>
      </c>
      <c r="V17" s="251"/>
    </row>
    <row r="18" spans="11:22" ht="30" customHeight="1">
      <c r="K18" s="258"/>
      <c r="L18" s="259"/>
      <c r="V18" s="251"/>
    </row>
    <row r="19" spans="3:22" s="214" customFormat="1" ht="27.75" customHeight="1">
      <c r="C19" s="217">
        <f>'Clb Q'!I26</f>
      </c>
      <c r="D19" s="217"/>
      <c r="E19" s="217"/>
      <c r="F19" s="220" t="s">
        <v>24</v>
      </c>
      <c r="G19" s="220"/>
      <c r="H19" s="217">
        <f>'Clb Q'!C26</f>
      </c>
      <c r="I19" s="217"/>
      <c r="J19" s="217"/>
      <c r="K19" s="260"/>
      <c r="L19" s="261"/>
      <c r="M19" s="217">
        <f>'Clb Q'!I10</f>
      </c>
      <c r="N19" s="217"/>
      <c r="O19" s="217"/>
      <c r="P19" s="220" t="s">
        <v>24</v>
      </c>
      <c r="Q19" s="220"/>
      <c r="R19" s="217" t="str">
        <f>'Clb Q'!C10</f>
        <v>EAC THIN-LE-MOUTIER</v>
      </c>
      <c r="S19" s="217"/>
      <c r="T19" s="217"/>
      <c r="V19" s="262"/>
    </row>
    <row r="20" spans="3:22" s="222" customFormat="1" ht="21.75" customHeight="1" outlineLevel="1">
      <c r="C20" s="226">
        <f>'Clb Q'!H28</f>
      </c>
      <c r="D20" s="226"/>
      <c r="E20" s="226"/>
      <c r="F20" s="229">
        <v>11</v>
      </c>
      <c r="G20" s="230">
        <v>12</v>
      </c>
      <c r="H20" s="226">
        <f>'Clb Q'!B28</f>
      </c>
      <c r="I20" s="226"/>
      <c r="J20" s="226"/>
      <c r="K20" s="263"/>
      <c r="L20" s="264"/>
      <c r="M20" s="226">
        <f>'Clb Q'!H12</f>
      </c>
      <c r="N20" s="226"/>
      <c r="O20" s="226"/>
      <c r="P20" s="229">
        <v>11</v>
      </c>
      <c r="Q20" s="230">
        <v>12</v>
      </c>
      <c r="R20" s="226" t="str">
        <f>'Clb Q'!B12</f>
        <v>LESIEUR Jules</v>
      </c>
      <c r="S20" s="226"/>
      <c r="T20" s="226"/>
      <c r="V20" s="265"/>
    </row>
    <row r="21" spans="3:22" s="222" customFormat="1" ht="21.75" customHeight="1" outlineLevel="1">
      <c r="C21" s="226">
        <f>'Clb Q'!H29</f>
      </c>
      <c r="D21" s="226"/>
      <c r="E21" s="226"/>
      <c r="F21" s="233">
        <v>13</v>
      </c>
      <c r="G21" s="234">
        <v>14</v>
      </c>
      <c r="H21" s="226">
        <f>'Clb Q'!B29</f>
      </c>
      <c r="I21" s="226"/>
      <c r="J21" s="226"/>
      <c r="K21" s="263"/>
      <c r="L21" s="264"/>
      <c r="M21" s="226">
        <f>'Clb Q'!H13</f>
      </c>
      <c r="N21" s="226"/>
      <c r="O21" s="226"/>
      <c r="P21" s="233">
        <v>13</v>
      </c>
      <c r="Q21" s="234">
        <v>14</v>
      </c>
      <c r="R21" s="226" t="str">
        <f>'Clb Q'!B13</f>
        <v>BOCQUET Corentin</v>
      </c>
      <c r="S21" s="226"/>
      <c r="T21" s="226"/>
      <c r="V21" s="265"/>
    </row>
    <row r="22" spans="3:22" s="222" customFormat="1" ht="21.75" customHeight="1" outlineLevel="1">
      <c r="C22" s="226">
        <f>'Clb Q'!H30</f>
      </c>
      <c r="D22" s="226"/>
      <c r="E22" s="226"/>
      <c r="F22" s="233">
        <v>15</v>
      </c>
      <c r="G22" s="234">
        <v>16</v>
      </c>
      <c r="H22" s="226">
        <f>'Clb Q'!B30</f>
      </c>
      <c r="I22" s="226"/>
      <c r="J22" s="226"/>
      <c r="K22" s="263"/>
      <c r="L22" s="264"/>
      <c r="M22" s="226">
        <f>'Clb Q'!H14</f>
      </c>
      <c r="N22" s="226"/>
      <c r="O22" s="226"/>
      <c r="P22" s="233">
        <v>15</v>
      </c>
      <c r="Q22" s="234">
        <v>16</v>
      </c>
      <c r="R22" s="226" t="str">
        <f>'Clb Q'!B14</f>
        <v>QUIMPER Meryn</v>
      </c>
      <c r="S22" s="226"/>
      <c r="T22" s="226"/>
      <c r="V22" s="265"/>
    </row>
    <row r="23" spans="3:22" s="222" customFormat="1" ht="21.75" customHeight="1" outlineLevel="1">
      <c r="C23" s="226">
        <f>'Clb Q'!H31</f>
      </c>
      <c r="D23" s="226"/>
      <c r="E23" s="226"/>
      <c r="F23" s="233">
        <v>17</v>
      </c>
      <c r="G23" s="234">
        <v>18</v>
      </c>
      <c r="H23" s="226">
        <f>'Clb Q'!B31</f>
      </c>
      <c r="I23" s="226"/>
      <c r="J23" s="226"/>
      <c r="K23" s="263"/>
      <c r="L23" s="264"/>
      <c r="M23" s="226">
        <f>'Clb Q'!H15</f>
      </c>
      <c r="N23" s="226"/>
      <c r="O23" s="226"/>
      <c r="P23" s="233">
        <v>17</v>
      </c>
      <c r="Q23" s="234">
        <v>18</v>
      </c>
      <c r="R23" s="226" t="str">
        <f>'Clb Q'!B15</f>
        <v>LESIEUR Christophe</v>
      </c>
      <c r="S23" s="226"/>
      <c r="T23" s="226"/>
      <c r="V23" s="265"/>
    </row>
    <row r="24" spans="3:22" s="222" customFormat="1" ht="21.75" customHeight="1" outlineLevel="1">
      <c r="C24" s="226">
        <f>'Clb Q'!H32</f>
      </c>
      <c r="D24" s="226"/>
      <c r="E24" s="226"/>
      <c r="F24" s="237">
        <v>19</v>
      </c>
      <c r="G24" s="238">
        <v>20</v>
      </c>
      <c r="H24" s="226">
        <f>'Clb Q'!B32</f>
      </c>
      <c r="I24" s="226"/>
      <c r="J24" s="226"/>
      <c r="K24" s="263"/>
      <c r="L24" s="264"/>
      <c r="M24" s="226">
        <f>'Clb Q'!H16</f>
      </c>
      <c r="N24" s="226"/>
      <c r="O24" s="226"/>
      <c r="P24" s="237">
        <v>19</v>
      </c>
      <c r="Q24" s="238">
        <v>20</v>
      </c>
      <c r="R24" s="226" t="str">
        <f>'Clb Q'!B16</f>
        <v>BROUSMICHE Lucas</v>
      </c>
      <c r="S24" s="226"/>
      <c r="T24" s="226"/>
      <c r="V24" s="265"/>
    </row>
    <row r="25" spans="2:22" ht="21.75" customHeight="1">
      <c r="B25" s="246">
        <f aca="true" t="shared" si="4" ref="B25:B31">IF(E25="","",IF(E25&gt;2,1,0))</f>
      </c>
      <c r="C25" s="247">
        <f>IF(E25="","",SUM(B25:B31))</f>
      </c>
      <c r="D25" s="247"/>
      <c r="E25" s="243"/>
      <c r="F25" s="248"/>
      <c r="G25" s="248"/>
      <c r="H25" s="243"/>
      <c r="I25" s="249">
        <f>IF(H25="","",SUM(K25:K31))</f>
      </c>
      <c r="J25" s="249"/>
      <c r="K25" s="250">
        <f aca="true" t="shared" si="5" ref="K25:K31">IF(H25="","",IF(H25&gt;2,1,0))</f>
      </c>
      <c r="L25" s="246">
        <f aca="true" t="shared" si="6" ref="L25:L31">IF(O25="","",IF(O25&gt;2,1,0))</f>
      </c>
      <c r="M25" s="247">
        <f>IF(O25="","",SUM(L25:L31))</f>
      </c>
      <c r="N25" s="247"/>
      <c r="O25" s="243"/>
      <c r="P25" s="248"/>
      <c r="Q25" s="248"/>
      <c r="R25" s="243"/>
      <c r="S25" s="249">
        <f>IF(R25="","",SUM(U25:U31))</f>
      </c>
      <c r="T25" s="249"/>
      <c r="U25" s="250">
        <f aca="true" t="shared" si="7" ref="U25:U31">IF(R25="","",IF(R25&gt;2,1,0))</f>
      </c>
      <c r="V25" s="251"/>
    </row>
    <row r="26" spans="2:22" ht="21.75" customHeight="1">
      <c r="B26" s="246">
        <f t="shared" si="4"/>
      </c>
      <c r="C26" s="247"/>
      <c r="D26" s="247"/>
      <c r="E26" s="254"/>
      <c r="F26" s="255"/>
      <c r="G26" s="255"/>
      <c r="H26" s="254"/>
      <c r="I26" s="249"/>
      <c r="J26" s="249"/>
      <c r="K26" s="250">
        <f t="shared" si="5"/>
      </c>
      <c r="L26" s="246">
        <f t="shared" si="6"/>
      </c>
      <c r="M26" s="247"/>
      <c r="N26" s="247"/>
      <c r="O26" s="254"/>
      <c r="P26" s="255"/>
      <c r="Q26" s="255"/>
      <c r="R26" s="254"/>
      <c r="S26" s="249"/>
      <c r="T26" s="249"/>
      <c r="U26" s="250">
        <f t="shared" si="7"/>
      </c>
      <c r="V26" s="251"/>
    </row>
    <row r="27" spans="2:22" ht="21.75" customHeight="1">
      <c r="B27" s="246">
        <f t="shared" si="4"/>
      </c>
      <c r="C27" s="247"/>
      <c r="D27" s="247"/>
      <c r="E27" s="254"/>
      <c r="F27" s="255"/>
      <c r="G27" s="255"/>
      <c r="H27" s="254"/>
      <c r="I27" s="249"/>
      <c r="J27" s="249"/>
      <c r="K27" s="250">
        <f t="shared" si="5"/>
      </c>
      <c r="L27" s="246">
        <f t="shared" si="6"/>
      </c>
      <c r="M27" s="247"/>
      <c r="N27" s="247"/>
      <c r="O27" s="254"/>
      <c r="P27" s="255"/>
      <c r="Q27" s="255"/>
      <c r="R27" s="254"/>
      <c r="S27" s="249"/>
      <c r="T27" s="249"/>
      <c r="U27" s="250">
        <f t="shared" si="7"/>
      </c>
      <c r="V27" s="251"/>
    </row>
    <row r="28" spans="2:22" ht="21.75" customHeight="1">
      <c r="B28" s="246">
        <f t="shared" si="4"/>
      </c>
      <c r="C28" s="247"/>
      <c r="D28" s="247"/>
      <c r="E28" s="254"/>
      <c r="F28" s="255"/>
      <c r="G28" s="255"/>
      <c r="H28" s="254"/>
      <c r="I28" s="249"/>
      <c r="J28" s="249"/>
      <c r="K28" s="250">
        <f t="shared" si="5"/>
      </c>
      <c r="L28" s="246">
        <f t="shared" si="6"/>
      </c>
      <c r="M28" s="247"/>
      <c r="N28" s="247"/>
      <c r="O28" s="254"/>
      <c r="P28" s="255"/>
      <c r="Q28" s="255"/>
      <c r="R28" s="254"/>
      <c r="S28" s="249"/>
      <c r="T28" s="249"/>
      <c r="U28" s="250">
        <f t="shared" si="7"/>
      </c>
      <c r="V28" s="251"/>
    </row>
    <row r="29" spans="2:22" ht="21.75" customHeight="1">
      <c r="B29" s="246">
        <f t="shared" si="4"/>
      </c>
      <c r="C29" s="247"/>
      <c r="D29" s="247"/>
      <c r="E29" s="254"/>
      <c r="F29" s="255"/>
      <c r="G29" s="255"/>
      <c r="H29" s="254"/>
      <c r="I29" s="249"/>
      <c r="J29" s="249"/>
      <c r="K29" s="250">
        <f t="shared" si="5"/>
      </c>
      <c r="L29" s="246">
        <f t="shared" si="6"/>
      </c>
      <c r="M29" s="247"/>
      <c r="N29" s="247"/>
      <c r="O29" s="254"/>
      <c r="P29" s="255"/>
      <c r="Q29" s="255"/>
      <c r="R29" s="254"/>
      <c r="S29" s="249"/>
      <c r="T29" s="249"/>
      <c r="U29" s="250">
        <f t="shared" si="7"/>
      </c>
      <c r="V29" s="251"/>
    </row>
    <row r="30" spans="2:22" ht="21.75" customHeight="1">
      <c r="B30" s="246">
        <f t="shared" si="4"/>
      </c>
      <c r="C30" s="247"/>
      <c r="D30" s="247"/>
      <c r="E30" s="254"/>
      <c r="F30" s="255"/>
      <c r="G30" s="255"/>
      <c r="H30" s="254"/>
      <c r="I30" s="249"/>
      <c r="J30" s="249"/>
      <c r="K30" s="250">
        <f t="shared" si="5"/>
      </c>
      <c r="L30" s="246">
        <f t="shared" si="6"/>
      </c>
      <c r="M30" s="247"/>
      <c r="N30" s="247"/>
      <c r="O30" s="254"/>
      <c r="P30" s="255"/>
      <c r="Q30" s="255"/>
      <c r="R30" s="254"/>
      <c r="S30" s="249"/>
      <c r="T30" s="249"/>
      <c r="U30" s="250">
        <f t="shared" si="7"/>
      </c>
      <c r="V30" s="251"/>
    </row>
    <row r="31" spans="2:22" ht="21.75" customHeight="1">
      <c r="B31" s="246">
        <f t="shared" si="4"/>
      </c>
      <c r="C31" s="247"/>
      <c r="D31" s="247"/>
      <c r="E31" s="257"/>
      <c r="F31" s="255"/>
      <c r="G31" s="255"/>
      <c r="H31" s="257"/>
      <c r="I31" s="249"/>
      <c r="J31" s="249"/>
      <c r="K31" s="250">
        <f t="shared" si="5"/>
      </c>
      <c r="L31" s="246">
        <f t="shared" si="6"/>
      </c>
      <c r="M31" s="247"/>
      <c r="N31" s="247"/>
      <c r="O31" s="257"/>
      <c r="P31" s="255"/>
      <c r="Q31" s="255"/>
      <c r="R31" s="257"/>
      <c r="S31" s="249"/>
      <c r="T31" s="249"/>
      <c r="U31" s="250">
        <f t="shared" si="7"/>
      </c>
      <c r="V31" s="251"/>
    </row>
    <row r="32" ht="399.75" customHeight="1" hidden="1" outlineLevel="1">
      <c r="K32" s="251"/>
    </row>
    <row r="33" ht="99.75" customHeight="1" hidden="1" outlineLevel="1">
      <c r="K33" s="251"/>
    </row>
    <row r="34" spans="2:21" ht="60" customHeight="1">
      <c r="B34" s="266" t="s">
        <v>69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</row>
    <row r="35" spans="3:20" s="214" customFormat="1" ht="27.75" customHeight="1">
      <c r="C35" s="267" t="str">
        <f>IF(H5="",C5,IF(C11="","",IF(I11="","",IF(C11&gt;3,C5,IF(I11&gt;3,H5,"")))))</f>
        <v>LA MOUCHE REMILLY</v>
      </c>
      <c r="D35" s="267"/>
      <c r="E35" s="267"/>
      <c r="F35" s="220" t="s">
        <v>24</v>
      </c>
      <c r="G35" s="220"/>
      <c r="H35" s="268">
        <f>IF(C19="",H19,IF(C25="","",IF(I25="","",IF(C25&gt;3,C19,IF(I25&gt;3,H19,"")))))</f>
      </c>
      <c r="I35" s="268"/>
      <c r="J35" s="268"/>
      <c r="K35" s="269"/>
      <c r="L35" s="261"/>
      <c r="M35" s="268" t="str">
        <f>IF(R5="",M5,IF(M11="","",IF(S11="","",IF(M11&gt;3,M5,IF(S11&gt;3,R5,"")))))</f>
        <v>USTIR CHARLEVILLE</v>
      </c>
      <c r="N35" s="268"/>
      <c r="O35" s="268"/>
      <c r="P35" s="220" t="s">
        <v>24</v>
      </c>
      <c r="Q35" s="220"/>
      <c r="R35" s="268" t="str">
        <f>IF(M19="",R19,IF(M25="","",IF(S25="","",IF(M25&gt;3,M19,IF(S25&gt;3,R19,"")))))</f>
        <v>EAC THIN-LE-MOUTIER</v>
      </c>
      <c r="S35" s="268"/>
      <c r="T35" s="268"/>
    </row>
    <row r="36" spans="3:21" s="222" customFormat="1" ht="21.75" customHeight="1" outlineLevel="1">
      <c r="C36" s="270" t="str">
        <f>IF(H6="",C6,IF(C11="","",IF(I11="","",IF(C11&gt;3,C6,IF(I11&gt;3,H6,"")))))</f>
        <v>ETIENNE Doreen</v>
      </c>
      <c r="D36" s="270"/>
      <c r="E36" s="270"/>
      <c r="F36" s="271">
        <v>1</v>
      </c>
      <c r="G36" s="272">
        <v>2</v>
      </c>
      <c r="H36" s="273">
        <f>IF(C20="",H20,IF(C25="","",IF(I25="","",IF(C25&gt;3,C20,IF(I25&gt;3,H20,"")))))</f>
      </c>
      <c r="I36" s="273"/>
      <c r="J36" s="273"/>
      <c r="K36" s="269"/>
      <c r="L36" s="264"/>
      <c r="M36" s="273" t="str">
        <f>IF(R6="",M6,IF(M11="","",IF(S11="","",IF(M11&gt;3,M6,IF(S11&gt;3,R6,"")))))</f>
        <v>PROFICET Quentin</v>
      </c>
      <c r="N36" s="273"/>
      <c r="O36" s="273"/>
      <c r="P36" s="274">
        <v>11</v>
      </c>
      <c r="Q36" s="275">
        <v>12</v>
      </c>
      <c r="R36" s="273" t="str">
        <f>IF(M20="",R20,IF(M25="","",IF(S25="","",IF(M25&gt;3,M20,IF(S25&gt;3,R20,"")))))</f>
        <v>LESIEUR Jules</v>
      </c>
      <c r="S36" s="273"/>
      <c r="T36" s="273"/>
      <c r="U36" s="276"/>
    </row>
    <row r="37" spans="3:21" s="222" customFormat="1" ht="21.75" customHeight="1" outlineLevel="1">
      <c r="C37" s="270" t="str">
        <f>IF(H7="",C7,IF(C11="","",IF(I11="","",IF(C11&gt;3,C7,IF(I11&gt;3,H7,"")))))</f>
        <v>GOHLKE Alexandra</v>
      </c>
      <c r="D37" s="270"/>
      <c r="E37" s="270"/>
      <c r="F37" s="277">
        <v>3</v>
      </c>
      <c r="G37" s="278">
        <v>4</v>
      </c>
      <c r="H37" s="273">
        <f>IF(C21="",H21,IF(C25="","",IF(I25="","",IF(C25&gt;3,C21,IF(I25&gt;3,H21,"")))))</f>
      </c>
      <c r="I37" s="273"/>
      <c r="J37" s="273"/>
      <c r="K37" s="269"/>
      <c r="L37" s="264"/>
      <c r="M37" s="273" t="str">
        <f>IF(R7="",M7,IF(M11="","",IF(S11="","",IF(M11&gt;3,M7,IF(S11&gt;3,R7,"")))))</f>
        <v>VERDURE Valentine</v>
      </c>
      <c r="N37" s="273"/>
      <c r="O37" s="273"/>
      <c r="P37" s="279">
        <v>13</v>
      </c>
      <c r="Q37" s="280">
        <v>14</v>
      </c>
      <c r="R37" s="273" t="str">
        <f>IF(M21="",R21,IF(M25="","",IF(S25="","",IF(M25&gt;3,M21,IF(S25&gt;3,R21,"")))))</f>
        <v>BOCQUET Corentin</v>
      </c>
      <c r="S37" s="273"/>
      <c r="T37" s="273"/>
      <c r="U37" s="276"/>
    </row>
    <row r="38" spans="3:21" s="222" customFormat="1" ht="21.75" customHeight="1" outlineLevel="1">
      <c r="C38" s="270" t="str">
        <f>IF(H8="",C8,IF(C11="","",IF(I11="","",IF(C11&gt;3,C8,IF(I11&gt;3,H8,"")))))</f>
        <v>COUSTEIX Crystale</v>
      </c>
      <c r="D38" s="270"/>
      <c r="E38" s="270"/>
      <c r="F38" s="277">
        <v>5</v>
      </c>
      <c r="G38" s="278">
        <v>6</v>
      </c>
      <c r="H38" s="273">
        <f>IF(C22="",H22,IF(C25="","",IF(I25="","",IF(C25&gt;3,C22,IF(I25&gt;3,H22,"")))))</f>
      </c>
      <c r="I38" s="273"/>
      <c r="J38" s="273"/>
      <c r="K38" s="269"/>
      <c r="L38" s="264"/>
      <c r="M38" s="273" t="str">
        <f>IF(R8="",M8,IF(M11="","",IF(S11="","",IF(M11&gt;3,M8,IF(S11&gt;3,R8,"")))))</f>
        <v>GOURIET Nicolas</v>
      </c>
      <c r="N38" s="273"/>
      <c r="O38" s="273"/>
      <c r="P38" s="279">
        <v>15</v>
      </c>
      <c r="Q38" s="280">
        <v>16</v>
      </c>
      <c r="R38" s="273" t="str">
        <f>IF(M22="",R22,IF(M25="","",IF(S25="","",IF(M25&gt;3,M22,IF(S25&gt;3,R22,"")))))</f>
        <v>QUIMPER Meryn</v>
      </c>
      <c r="S38" s="273"/>
      <c r="T38" s="273"/>
      <c r="U38" s="276"/>
    </row>
    <row r="39" spans="3:21" s="222" customFormat="1" ht="21.75" customHeight="1" outlineLevel="1">
      <c r="C39" s="270" t="str">
        <f>IF(H9="",C9,IF(C11="","",IF(I11="","",IF(C11&gt;3,C9,IF(I11&gt;3,H9,"")))))</f>
        <v>BISTON Mélissa</v>
      </c>
      <c r="D39" s="270"/>
      <c r="E39" s="270"/>
      <c r="F39" s="277">
        <v>7</v>
      </c>
      <c r="G39" s="278">
        <v>8</v>
      </c>
      <c r="H39" s="273">
        <f>IF(C23="",H23,IF(C25="","",IF(I25="","",IF(C25&gt;3,C23,IF(I25&gt;3,H23,"")))))</f>
      </c>
      <c r="I39" s="273"/>
      <c r="J39" s="273"/>
      <c r="K39" s="269"/>
      <c r="L39" s="264"/>
      <c r="M39" s="273" t="str">
        <f>IF(R9="",M9,IF(M11="","",IF(S11="","",IF(M11&gt;3,M9,IF(S11&gt;3,R9,"")))))</f>
        <v>DELILLE Théo</v>
      </c>
      <c r="N39" s="273"/>
      <c r="O39" s="273"/>
      <c r="P39" s="279">
        <v>17</v>
      </c>
      <c r="Q39" s="280">
        <v>18</v>
      </c>
      <c r="R39" s="273" t="str">
        <f>IF(M23="",R23,IF(M25="","",IF(S25="","",IF(M25&gt;3,M23,IF(S25&gt;3,R23,"")))))</f>
        <v>LESIEUR Christophe</v>
      </c>
      <c r="S39" s="273"/>
      <c r="T39" s="273"/>
      <c r="U39" s="276"/>
    </row>
    <row r="40" spans="3:21" s="222" customFormat="1" ht="21.75" customHeight="1" outlineLevel="1">
      <c r="C40" s="270" t="str">
        <f>IF(H10="",C10,IF(C11="","",IF(I11="","",IF(C11&gt;3,C10,IF(I11&gt;3,H10,"")))))</f>
        <v>MORGEON Christelle</v>
      </c>
      <c r="D40" s="270"/>
      <c r="E40" s="270"/>
      <c r="F40" s="281">
        <v>9</v>
      </c>
      <c r="G40" s="282">
        <v>10</v>
      </c>
      <c r="H40" s="273">
        <f>IF(C24="",H24,IF(C25="","",IF(I25="","",IF(C25&gt;3,C24,IF(I25&gt;3,H24,"")))))</f>
      </c>
      <c r="I40" s="273"/>
      <c r="J40" s="273"/>
      <c r="K40" s="269"/>
      <c r="L40" s="264"/>
      <c r="M40" s="273" t="str">
        <f>IF(R10="",M10,IF(M11="","",IF(S11="","",IF(M11&gt;3,M10,IF(S11&gt;3,R10,"")))))</f>
        <v>NOE Pierre</v>
      </c>
      <c r="N40" s="273"/>
      <c r="O40" s="273"/>
      <c r="P40" s="283">
        <v>19</v>
      </c>
      <c r="Q40" s="284">
        <v>20</v>
      </c>
      <c r="R40" s="273" t="str">
        <f>IF(M24="",R24,IF(M25="","",IF(S25="","",IF(M25&gt;3,M24,IF(S25&gt;3,R24,"")))))</f>
        <v>BROUSMICHE Lucas</v>
      </c>
      <c r="S40" s="273"/>
      <c r="T40" s="273"/>
      <c r="U40" s="276"/>
    </row>
    <row r="41" spans="2:22" ht="21.75" customHeight="1">
      <c r="B41" s="246"/>
      <c r="C41" s="247"/>
      <c r="D41" s="247"/>
      <c r="E41" s="243"/>
      <c r="F41" s="248"/>
      <c r="G41" s="248"/>
      <c r="H41" s="243"/>
      <c r="I41" s="249"/>
      <c r="J41" s="249"/>
      <c r="K41" s="250">
        <f aca="true" t="shared" si="8" ref="K41:K47">IF(H41="","",IF(H41&gt;2,1,0))</f>
      </c>
      <c r="L41" s="285">
        <f aca="true" t="shared" si="9" ref="L41:L47">IF(O41="","",IF(O41&gt;2,1,0))</f>
        <v>0</v>
      </c>
      <c r="M41" s="247">
        <f>IF(O41="","",SUM(L41:L47))</f>
        <v>1</v>
      </c>
      <c r="N41" s="247"/>
      <c r="O41" s="243">
        <v>1</v>
      </c>
      <c r="P41" s="248"/>
      <c r="Q41" s="248"/>
      <c r="R41" s="243">
        <v>4</v>
      </c>
      <c r="S41" s="249">
        <f>IF(R41="","",SUM(U41:U47))</f>
        <v>4</v>
      </c>
      <c r="T41" s="249"/>
      <c r="U41" s="250">
        <f aca="true" t="shared" si="10" ref="U41:U47">IF(R41="","",IF(R41&gt;2,1,0))</f>
        <v>1</v>
      </c>
      <c r="V41" s="251"/>
    </row>
    <row r="42" spans="2:22" ht="21.75" customHeight="1">
      <c r="B42"/>
      <c r="C42" s="247"/>
      <c r="D42" s="247"/>
      <c r="E42" s="254"/>
      <c r="F42" s="255"/>
      <c r="G42" s="255"/>
      <c r="H42" s="254"/>
      <c r="I42" s="249"/>
      <c r="J42" s="249"/>
      <c r="K42" s="250">
        <f t="shared" si="8"/>
      </c>
      <c r="L42" s="285">
        <f t="shared" si="9"/>
        <v>0</v>
      </c>
      <c r="M42" s="247"/>
      <c r="N42" s="247"/>
      <c r="O42" s="254">
        <v>2</v>
      </c>
      <c r="P42" s="255"/>
      <c r="Q42" s="255"/>
      <c r="R42" s="254">
        <v>3</v>
      </c>
      <c r="S42" s="249"/>
      <c r="T42" s="249"/>
      <c r="U42" s="250">
        <f t="shared" si="10"/>
        <v>1</v>
      </c>
      <c r="V42" s="251"/>
    </row>
    <row r="43" spans="2:22" ht="21.75" customHeight="1">
      <c r="B43" s="246"/>
      <c r="C43" s="247"/>
      <c r="D43" s="247"/>
      <c r="E43" s="254"/>
      <c r="F43" s="255"/>
      <c r="G43" s="255"/>
      <c r="H43" s="254"/>
      <c r="I43" s="249"/>
      <c r="J43" s="249"/>
      <c r="K43" s="250">
        <f t="shared" si="8"/>
      </c>
      <c r="L43" s="285">
        <f t="shared" si="9"/>
        <v>0</v>
      </c>
      <c r="M43" s="247"/>
      <c r="N43" s="247"/>
      <c r="O43" s="254">
        <v>1</v>
      </c>
      <c r="P43" s="255"/>
      <c r="Q43" s="255"/>
      <c r="R43" s="254">
        <v>4</v>
      </c>
      <c r="S43" s="249"/>
      <c r="T43" s="249"/>
      <c r="U43" s="250">
        <f t="shared" si="10"/>
        <v>1</v>
      </c>
      <c r="V43" s="251"/>
    </row>
    <row r="44" spans="2:22" ht="21.75" customHeight="1">
      <c r="B44" s="246"/>
      <c r="C44" s="247"/>
      <c r="D44" s="247"/>
      <c r="E44" s="254"/>
      <c r="F44" s="255"/>
      <c r="G44" s="255"/>
      <c r="H44" s="254"/>
      <c r="I44" s="249"/>
      <c r="J44" s="249"/>
      <c r="K44" s="250">
        <f t="shared" si="8"/>
      </c>
      <c r="L44" s="285">
        <f t="shared" si="9"/>
        <v>1</v>
      </c>
      <c r="M44" s="247"/>
      <c r="N44" s="247"/>
      <c r="O44" s="254">
        <v>3</v>
      </c>
      <c r="P44" s="255"/>
      <c r="Q44" s="255"/>
      <c r="R44" s="254">
        <v>2</v>
      </c>
      <c r="S44" s="249"/>
      <c r="T44" s="249"/>
      <c r="U44" s="250">
        <f t="shared" si="10"/>
        <v>0</v>
      </c>
      <c r="V44" s="251"/>
    </row>
    <row r="45" spans="2:22" ht="21.75" customHeight="1">
      <c r="B45" s="246"/>
      <c r="C45" s="247"/>
      <c r="D45" s="247"/>
      <c r="E45" s="254"/>
      <c r="F45" s="255"/>
      <c r="G45" s="255"/>
      <c r="H45" s="254"/>
      <c r="I45" s="249"/>
      <c r="J45" s="249"/>
      <c r="K45" s="250">
        <f t="shared" si="8"/>
      </c>
      <c r="L45" s="285">
        <f t="shared" si="9"/>
        <v>0</v>
      </c>
      <c r="M45" s="247"/>
      <c r="N45" s="247"/>
      <c r="O45" s="254">
        <v>1</v>
      </c>
      <c r="P45" s="255"/>
      <c r="Q45" s="255"/>
      <c r="R45" s="254">
        <v>4</v>
      </c>
      <c r="S45" s="249"/>
      <c r="T45" s="249"/>
      <c r="U45" s="250">
        <f t="shared" si="10"/>
        <v>1</v>
      </c>
      <c r="V45" s="251"/>
    </row>
    <row r="46" spans="2:22" ht="21.75" customHeight="1">
      <c r="B46" s="246"/>
      <c r="C46" s="247"/>
      <c r="D46" s="247"/>
      <c r="E46" s="254"/>
      <c r="F46" s="255"/>
      <c r="G46" s="255"/>
      <c r="H46" s="254"/>
      <c r="I46" s="249"/>
      <c r="J46" s="249"/>
      <c r="K46" s="250">
        <f t="shared" si="8"/>
      </c>
      <c r="L46" s="285">
        <f t="shared" si="9"/>
      </c>
      <c r="M46" s="247"/>
      <c r="N46" s="247"/>
      <c r="O46" s="254"/>
      <c r="P46" s="255"/>
      <c r="Q46" s="255"/>
      <c r="R46" s="254"/>
      <c r="S46" s="249"/>
      <c r="T46" s="249"/>
      <c r="U46" s="250">
        <f t="shared" si="10"/>
      </c>
      <c r="V46" s="251"/>
    </row>
    <row r="47" spans="2:22" ht="21.75" customHeight="1">
      <c r="B47" s="246"/>
      <c r="C47" s="247"/>
      <c r="D47" s="247"/>
      <c r="E47" s="257"/>
      <c r="F47" s="255"/>
      <c r="G47" s="255"/>
      <c r="H47" s="257"/>
      <c r="I47" s="249"/>
      <c r="J47" s="249"/>
      <c r="K47" s="250">
        <f t="shared" si="8"/>
      </c>
      <c r="L47" s="285">
        <f t="shared" si="9"/>
      </c>
      <c r="M47" s="247"/>
      <c r="N47" s="247"/>
      <c r="O47" s="257"/>
      <c r="P47" s="255"/>
      <c r="Q47" s="255"/>
      <c r="R47" s="257"/>
      <c r="S47" s="249"/>
      <c r="T47" s="249"/>
      <c r="U47" s="250">
        <f t="shared" si="10"/>
      </c>
      <c r="V47" s="251"/>
    </row>
    <row r="48" spans="11:22" ht="300" customHeight="1" hidden="1" outlineLevel="1">
      <c r="K48" s="269"/>
      <c r="L48" s="259"/>
      <c r="V48" s="251"/>
    </row>
    <row r="49" spans="11:22" ht="300" customHeight="1" hidden="1" outlineLevel="1">
      <c r="K49" s="286"/>
      <c r="L49" s="259"/>
      <c r="V49" s="251"/>
    </row>
    <row r="50" spans="2:21" ht="58.5" customHeight="1">
      <c r="B50" s="251"/>
      <c r="C50" s="251"/>
      <c r="D50" s="251"/>
      <c r="E50" s="251"/>
      <c r="F50" s="251"/>
      <c r="G50" s="251"/>
      <c r="H50" s="287" t="s">
        <v>70</v>
      </c>
      <c r="I50" s="287"/>
      <c r="J50" s="287"/>
      <c r="K50" s="287"/>
      <c r="L50" s="287"/>
      <c r="M50" s="287"/>
      <c r="N50" s="287"/>
      <c r="O50" s="287"/>
      <c r="P50" s="288"/>
      <c r="Q50" s="251"/>
      <c r="R50" s="251"/>
      <c r="S50" s="251"/>
      <c r="T50" s="251"/>
      <c r="U50" s="251"/>
    </row>
    <row r="51" spans="6:17" s="214" customFormat="1" ht="27.75" customHeight="1">
      <c r="F51" s="289"/>
      <c r="G51" s="289"/>
      <c r="H51" s="290">
        <f>IF(C41="","",IF(I41="","",IF(C41&gt;3,H35,IF(I41&gt;3,C35,""))))</f>
      </c>
      <c r="I51" s="290"/>
      <c r="J51" s="290"/>
      <c r="K51" s="220" t="s">
        <v>24</v>
      </c>
      <c r="L51" s="220"/>
      <c r="M51" s="291" t="str">
        <f>IF(M41="","",IF(S41="","",IF(M41&gt;3,R35,IF(S41&gt;3,M35,""))))</f>
        <v>USTIR CHARLEVILLE</v>
      </c>
      <c r="N51" s="291"/>
      <c r="O51" s="291"/>
      <c r="P51" s="292"/>
      <c r="Q51" s="292"/>
    </row>
    <row r="52" spans="6:17" s="222" customFormat="1" ht="21.75" customHeight="1" outlineLevel="1">
      <c r="F52" s="289"/>
      <c r="G52" s="289"/>
      <c r="H52" s="293">
        <f>IF(C41="","",IF(I41="","",IF(C41&gt;3,H36,IF(I41&gt;3,C36,""))))</f>
      </c>
      <c r="I52" s="293"/>
      <c r="J52" s="293"/>
      <c r="K52" s="294">
        <v>1</v>
      </c>
      <c r="L52" s="295">
        <v>2</v>
      </c>
      <c r="M52" s="296" t="str">
        <f>IF(M41="","",IF(S41="","",IF(M41&gt;3,R36,IF(S41&gt;3,M36,""))))</f>
        <v>PROFICET Quentin</v>
      </c>
      <c r="N52" s="296"/>
      <c r="O52" s="296"/>
      <c r="P52" s="292"/>
      <c r="Q52" s="292"/>
    </row>
    <row r="53" spans="6:17" s="222" customFormat="1" ht="21.75" customHeight="1" outlineLevel="1">
      <c r="F53" s="289"/>
      <c r="G53" s="289"/>
      <c r="H53" s="293">
        <f>IF(C41="","",IF(I41="","",IF(C41&gt;3,H37,IF(I41&gt;3,C37,""))))</f>
      </c>
      <c r="I53" s="293"/>
      <c r="J53" s="293"/>
      <c r="K53" s="297">
        <v>3</v>
      </c>
      <c r="L53" s="298">
        <v>4</v>
      </c>
      <c r="M53" s="296" t="str">
        <f>IF(M41="","",IF(S41="","",IF(M41&gt;3,R37,IF(S41&gt;3,M37,""))))</f>
        <v>VERDURE Valentine</v>
      </c>
      <c r="N53" s="296"/>
      <c r="O53" s="296"/>
      <c r="P53" s="292"/>
      <c r="Q53" s="292"/>
    </row>
    <row r="54" spans="6:17" s="222" customFormat="1" ht="21.75" customHeight="1" outlineLevel="1">
      <c r="F54" s="289"/>
      <c r="G54" s="289"/>
      <c r="H54" s="293">
        <f>IF(C41="","",IF(I41="","",IF(C41&gt;3,H38,IF(I41&gt;3,C38,""))))</f>
      </c>
      <c r="I54" s="293"/>
      <c r="J54" s="293"/>
      <c r="K54" s="297">
        <v>5</v>
      </c>
      <c r="L54" s="298">
        <v>6</v>
      </c>
      <c r="M54" s="296" t="str">
        <f>IF(M41="","",IF(S41="","",IF(M41&gt;3,R38,IF(S41&gt;3,M38,""))))</f>
        <v>GOURIET Nicolas</v>
      </c>
      <c r="N54" s="296"/>
      <c r="O54" s="296"/>
      <c r="P54" s="292"/>
      <c r="Q54" s="292"/>
    </row>
    <row r="55" spans="6:17" s="222" customFormat="1" ht="21.75" customHeight="1" outlineLevel="1">
      <c r="F55" s="289"/>
      <c r="G55" s="289"/>
      <c r="H55" s="293">
        <f>IF(C41="","",IF(I41="","",IF(C41&gt;3,H39,IF(I41&gt;3,C39,""))))</f>
      </c>
      <c r="I55" s="293"/>
      <c r="J55" s="293"/>
      <c r="K55" s="297">
        <v>7</v>
      </c>
      <c r="L55" s="298">
        <v>8</v>
      </c>
      <c r="M55" s="296" t="str">
        <f>IF(M41="","",IF(S41="","",IF(M41&gt;3,R39,IF(S41&gt;3,M39,""))))</f>
        <v>DELILLE Théo</v>
      </c>
      <c r="N55" s="296"/>
      <c r="O55" s="296"/>
      <c r="P55" s="292"/>
      <c r="Q55" s="292"/>
    </row>
    <row r="56" spans="6:17" s="222" customFormat="1" ht="21.75" customHeight="1" outlineLevel="1">
      <c r="F56" s="289"/>
      <c r="G56" s="289"/>
      <c r="H56" s="293">
        <f>IF(C41="","",IF(I41="","",IF(C41&gt;3,H40,IF(I41&gt;3,C40,""))))</f>
      </c>
      <c r="I56" s="293"/>
      <c r="J56" s="293"/>
      <c r="K56" s="299">
        <v>9</v>
      </c>
      <c r="L56" s="300">
        <v>10</v>
      </c>
      <c r="M56" s="296" t="str">
        <f>IF(M41="","",IF(S41="","",IF(M41&gt;3,R40,IF(S41&gt;3,M40,""))))</f>
        <v>NOE Pierre</v>
      </c>
      <c r="N56" s="296"/>
      <c r="O56" s="296"/>
      <c r="P56" s="292"/>
      <c r="Q56" s="292"/>
    </row>
    <row r="57" spans="7:16" ht="21.75" customHeight="1">
      <c r="G57" s="246">
        <f aca="true" t="shared" si="11" ref="G57:G63">IF(J57="","",IF(J57&gt;2,1,0))</f>
      </c>
      <c r="H57" s="247">
        <f>IF(J57="","",SUM(G57:G63))</f>
      </c>
      <c r="I57" s="247"/>
      <c r="J57" s="243"/>
      <c r="K57" s="248"/>
      <c r="L57" s="248"/>
      <c r="M57" s="243"/>
      <c r="N57" s="249">
        <f>IF(H35="",IF(M51="","",4),IF(M57="","",SUM(P57:P63)))</f>
        <v>4</v>
      </c>
      <c r="O57" s="249"/>
      <c r="P57" s="250">
        <f aca="true" t="shared" si="12" ref="P57:P63">IF(M57="","",IF(M57&gt;2,1,0))</f>
      </c>
    </row>
    <row r="58" spans="7:16" ht="21.75" customHeight="1">
      <c r="G58" s="246">
        <f t="shared" si="11"/>
      </c>
      <c r="H58" s="247"/>
      <c r="I58" s="247"/>
      <c r="J58" s="254"/>
      <c r="K58" s="255"/>
      <c r="L58" s="255"/>
      <c r="M58" s="254"/>
      <c r="N58" s="249"/>
      <c r="O58" s="249"/>
      <c r="P58" s="250">
        <f t="shared" si="12"/>
      </c>
    </row>
    <row r="59" spans="7:16" ht="21.75" customHeight="1">
      <c r="G59" s="246">
        <f t="shared" si="11"/>
      </c>
      <c r="H59" s="247"/>
      <c r="I59" s="247"/>
      <c r="J59" s="254"/>
      <c r="K59" s="255"/>
      <c r="L59" s="255"/>
      <c r="M59" s="254"/>
      <c r="N59" s="249"/>
      <c r="O59" s="249"/>
      <c r="P59" s="250">
        <f t="shared" si="12"/>
      </c>
    </row>
    <row r="60" spans="7:16" ht="21.75" customHeight="1">
      <c r="G60" s="246">
        <f t="shared" si="11"/>
      </c>
      <c r="H60" s="247"/>
      <c r="I60" s="247"/>
      <c r="J60" s="254"/>
      <c r="K60" s="255"/>
      <c r="L60" s="255"/>
      <c r="M60" s="254"/>
      <c r="N60" s="249"/>
      <c r="O60" s="249"/>
      <c r="P60" s="250">
        <f t="shared" si="12"/>
      </c>
    </row>
    <row r="61" spans="7:16" ht="21.75" customHeight="1">
      <c r="G61" s="246">
        <f t="shared" si="11"/>
      </c>
      <c r="H61" s="247"/>
      <c r="I61" s="247"/>
      <c r="J61" s="254"/>
      <c r="K61" s="255"/>
      <c r="L61" s="255"/>
      <c r="M61" s="254"/>
      <c r="N61" s="249"/>
      <c r="O61" s="249"/>
      <c r="P61" s="250">
        <f t="shared" si="12"/>
      </c>
    </row>
    <row r="62" spans="7:16" ht="21.75" customHeight="1">
      <c r="G62" s="246">
        <f t="shared" si="11"/>
      </c>
      <c r="H62" s="247"/>
      <c r="I62" s="247"/>
      <c r="J62" s="254"/>
      <c r="K62" s="255"/>
      <c r="L62" s="255"/>
      <c r="M62" s="254"/>
      <c r="N62" s="249"/>
      <c r="O62" s="249"/>
      <c r="P62" s="250">
        <f t="shared" si="12"/>
      </c>
    </row>
    <row r="63" spans="7:16" ht="21.75" customHeight="1">
      <c r="G63" s="246">
        <f t="shared" si="11"/>
      </c>
      <c r="H63" s="247"/>
      <c r="I63" s="247"/>
      <c r="J63" s="257"/>
      <c r="K63" s="255"/>
      <c r="L63" s="255"/>
      <c r="M63" s="257"/>
      <c r="N63" s="249"/>
      <c r="O63" s="249"/>
      <c r="P63" s="250">
        <f t="shared" si="12"/>
      </c>
    </row>
    <row r="64" spans="2:21" ht="60" customHeight="1">
      <c r="B64" s="251"/>
      <c r="C64" s="251"/>
      <c r="D64" s="251"/>
      <c r="E64" s="251"/>
      <c r="F64" s="251"/>
      <c r="G64" s="288"/>
      <c r="H64" s="288" t="s">
        <v>71</v>
      </c>
      <c r="I64" s="288"/>
      <c r="J64" s="288"/>
      <c r="K64" s="288"/>
      <c r="L64" s="288"/>
      <c r="M64" s="288"/>
      <c r="N64" s="288"/>
      <c r="O64" s="288"/>
      <c r="P64" s="251"/>
      <c r="Q64" s="251"/>
      <c r="R64" s="251"/>
      <c r="S64" s="251"/>
      <c r="T64" s="251"/>
      <c r="U64" s="251"/>
    </row>
    <row r="65" spans="1:17" ht="27.75" customHeight="1">
      <c r="A65" s="301"/>
      <c r="F65" s="302"/>
      <c r="G65" s="302"/>
      <c r="H65" s="303" t="str">
        <f>IF(H35="",C35,IF(C41="","",IF(I41="","",IF(C41&gt;3,C35,IF(I41&gt;3,H35,"")))))</f>
        <v>LA MOUCHE REMILLY</v>
      </c>
      <c r="I65" s="303"/>
      <c r="J65" s="303"/>
      <c r="K65" s="220" t="s">
        <v>24</v>
      </c>
      <c r="L65" s="220"/>
      <c r="M65" s="304" t="str">
        <f>IF(M35="",R35,IF(M41="","",IF(S41="","",IF(M41&gt;3,M35,IF(S41&gt;3,R35,"")))))</f>
        <v>EAC THIN-LE-MOUTIER</v>
      </c>
      <c r="N65" s="304"/>
      <c r="O65" s="304"/>
      <c r="P65" s="305"/>
      <c r="Q65" s="305"/>
    </row>
    <row r="66" spans="1:17" ht="21.75" customHeight="1" outlineLevel="1">
      <c r="A66" s="301"/>
      <c r="F66" s="302"/>
      <c r="G66" s="302"/>
      <c r="H66" s="306" t="str">
        <f>IF(H36="",C36,IF(C41="","",IF(I41="","",IF(C41&gt;3,C36,IF(I41&gt;3,H36,"")))))</f>
        <v>ETIENNE Doreen</v>
      </c>
      <c r="I66" s="306"/>
      <c r="J66" s="306"/>
      <c r="K66" s="307">
        <v>11</v>
      </c>
      <c r="L66" s="308">
        <v>12</v>
      </c>
      <c r="M66" s="309" t="str">
        <f>IF(M36="",R36,IF(M41="","",IF(S41="","",IF(M41&gt;3,M36,IF(S41&gt;3,R36,"")))))</f>
        <v>LESIEUR Jules</v>
      </c>
      <c r="N66" s="309"/>
      <c r="O66" s="309"/>
      <c r="P66" s="305"/>
      <c r="Q66" s="305"/>
    </row>
    <row r="67" spans="1:17" ht="21.75" customHeight="1" outlineLevel="1">
      <c r="A67" s="301"/>
      <c r="F67" s="302"/>
      <c r="G67" s="302"/>
      <c r="H67" s="306" t="str">
        <f>IF(H37="",C37,IF(C41="","",IF(I41="","",IF(C41&gt;3,C37,IF(I41&gt;3,H37,"")))))</f>
        <v>GOHLKE Alexandra</v>
      </c>
      <c r="I67" s="306"/>
      <c r="J67" s="306"/>
      <c r="K67" s="310">
        <v>13</v>
      </c>
      <c r="L67" s="311">
        <v>14</v>
      </c>
      <c r="M67" s="309" t="str">
        <f>IF(M37="",R37,IF(M41="","",IF(S41="","",IF(M41&gt;3,M37,IF(S41&gt;3,R37,"")))))</f>
        <v>BOCQUET Corentin</v>
      </c>
      <c r="N67" s="309"/>
      <c r="O67" s="309"/>
      <c r="P67" s="305"/>
      <c r="Q67" s="305"/>
    </row>
    <row r="68" spans="1:17" ht="21.75" customHeight="1" outlineLevel="1">
      <c r="A68" s="301"/>
      <c r="F68" s="302"/>
      <c r="G68" s="302"/>
      <c r="H68" s="306" t="str">
        <f>IF(H38="",C38,IF(C41="","",IF(I41="","",IF(C41&gt;3,C38,IF(I41&gt;3,H38,"")))))</f>
        <v>COUSTEIX Crystale</v>
      </c>
      <c r="I68" s="306"/>
      <c r="J68" s="306"/>
      <c r="K68" s="310">
        <v>15</v>
      </c>
      <c r="L68" s="311">
        <v>16</v>
      </c>
      <c r="M68" s="309" t="str">
        <f>IF(M38="",R38,IF(M41="","",IF(S41="","",IF(M41&gt;3,M38,IF(S41&gt;3,R38,"")))))</f>
        <v>QUIMPER Meryn</v>
      </c>
      <c r="N68" s="309"/>
      <c r="O68" s="309"/>
      <c r="P68" s="305"/>
      <c r="Q68" s="305"/>
    </row>
    <row r="69" spans="1:17" ht="21.75" customHeight="1" outlineLevel="1">
      <c r="A69" s="301"/>
      <c r="F69" s="302"/>
      <c r="G69" s="302"/>
      <c r="H69" s="306" t="str">
        <f>IF(H39="",C39,IF(C41="","",IF(I41="","",IF(C41&gt;3,C39,IF(I41&gt;3,H39,"")))))</f>
        <v>BISTON Mélissa</v>
      </c>
      <c r="I69" s="306"/>
      <c r="J69" s="306"/>
      <c r="K69" s="310">
        <v>17</v>
      </c>
      <c r="L69" s="311">
        <v>18</v>
      </c>
      <c r="M69" s="309" t="str">
        <f>IF(M39="",R39,IF(M41="","",IF(S41="","",IF(M41&gt;3,M39,IF(S41&gt;3,R39,"")))))</f>
        <v>LESIEUR Christophe</v>
      </c>
      <c r="N69" s="309"/>
      <c r="O69" s="309"/>
      <c r="P69" s="305"/>
      <c r="Q69" s="305"/>
    </row>
    <row r="70" spans="1:17" ht="21.75" customHeight="1" outlineLevel="1">
      <c r="A70" s="301"/>
      <c r="F70" s="302"/>
      <c r="G70" s="302"/>
      <c r="H70" s="306" t="str">
        <f>IF(H40="",C40,IF(C41="","",IF(I41="","",IF(C41&gt;3,C40,IF(I41&gt;3,H40,"")))))</f>
        <v>MORGEON Christelle</v>
      </c>
      <c r="I70" s="306"/>
      <c r="J70" s="306"/>
      <c r="K70" s="312">
        <v>19</v>
      </c>
      <c r="L70" s="313">
        <v>20</v>
      </c>
      <c r="M70" s="309" t="str">
        <f>IF(M40="",R40,IF(M41="","",IF(S41="","",IF(M41&gt;3,M40,IF(S41&gt;3,R40,"")))))</f>
        <v>BROUSMICHE Lucas</v>
      </c>
      <c r="N70" s="309"/>
      <c r="O70" s="309"/>
      <c r="P70" s="305"/>
      <c r="Q70" s="305"/>
    </row>
    <row r="71" spans="1:16" ht="21.75" customHeight="1">
      <c r="A71" s="301"/>
      <c r="G71" s="314">
        <f aca="true" t="shared" si="13" ref="G71:G77">IF(J71="","",IF(J71&gt;2,1,0))</f>
        <v>0</v>
      </c>
      <c r="H71" s="247">
        <f>IF(J71="","",SUM(G71:G77))</f>
        <v>3</v>
      </c>
      <c r="I71" s="247"/>
      <c r="J71" s="243">
        <v>1</v>
      </c>
      <c r="K71" s="248"/>
      <c r="L71" s="248"/>
      <c r="M71" s="243">
        <v>4</v>
      </c>
      <c r="N71" s="249">
        <f>IF(M71="","",SUM(P71:P77))</f>
        <v>4</v>
      </c>
      <c r="O71" s="249"/>
      <c r="P71" s="250">
        <f aca="true" t="shared" si="14" ref="P71:P77">IF(M71="","",IF(M71&gt;2,1,0))</f>
        <v>1</v>
      </c>
    </row>
    <row r="72" spans="1:16" ht="21.75" customHeight="1">
      <c r="A72" s="301"/>
      <c r="G72" s="314">
        <f t="shared" si="13"/>
        <v>1</v>
      </c>
      <c r="H72" s="247"/>
      <c r="I72" s="247"/>
      <c r="J72" s="254">
        <v>3</v>
      </c>
      <c r="K72" s="255"/>
      <c r="L72" s="255"/>
      <c r="M72" s="254">
        <v>2</v>
      </c>
      <c r="N72" s="249"/>
      <c r="O72" s="249"/>
      <c r="P72" s="250">
        <f t="shared" si="14"/>
        <v>0</v>
      </c>
    </row>
    <row r="73" spans="1:16" ht="21.75" customHeight="1">
      <c r="A73" s="301"/>
      <c r="G73" s="314">
        <f t="shared" si="13"/>
        <v>1</v>
      </c>
      <c r="H73" s="247"/>
      <c r="I73" s="247"/>
      <c r="J73" s="254">
        <v>4</v>
      </c>
      <c r="K73" s="255"/>
      <c r="L73" s="255"/>
      <c r="M73" s="254">
        <v>1</v>
      </c>
      <c r="N73" s="249"/>
      <c r="O73" s="249"/>
      <c r="P73" s="250">
        <f t="shared" si="14"/>
        <v>0</v>
      </c>
    </row>
    <row r="74" spans="1:16" ht="21.75" customHeight="1">
      <c r="A74" s="301"/>
      <c r="G74" s="314">
        <f t="shared" si="13"/>
        <v>0</v>
      </c>
      <c r="H74" s="247"/>
      <c r="I74" s="247"/>
      <c r="J74" s="254">
        <v>2</v>
      </c>
      <c r="K74" s="255"/>
      <c r="L74" s="255"/>
      <c r="M74" s="254">
        <v>3</v>
      </c>
      <c r="N74" s="249"/>
      <c r="O74" s="249"/>
      <c r="P74" s="250">
        <f t="shared" si="14"/>
        <v>1</v>
      </c>
    </row>
    <row r="75" spans="1:16" ht="21.75" customHeight="1">
      <c r="A75" s="301"/>
      <c r="G75" s="314">
        <f t="shared" si="13"/>
        <v>0</v>
      </c>
      <c r="H75" s="247"/>
      <c r="I75" s="247"/>
      <c r="J75" s="254">
        <v>2</v>
      </c>
      <c r="K75" s="255"/>
      <c r="L75" s="255"/>
      <c r="M75" s="254">
        <v>3</v>
      </c>
      <c r="N75" s="249"/>
      <c r="O75" s="249"/>
      <c r="P75" s="250">
        <f t="shared" si="14"/>
        <v>1</v>
      </c>
    </row>
    <row r="76" spans="1:16" ht="21.75" customHeight="1">
      <c r="A76" s="301"/>
      <c r="G76" s="314">
        <f t="shared" si="13"/>
        <v>1</v>
      </c>
      <c r="H76" s="247"/>
      <c r="I76" s="247"/>
      <c r="J76" s="254">
        <v>4</v>
      </c>
      <c r="K76" s="255"/>
      <c r="L76" s="255"/>
      <c r="M76" s="254">
        <v>1</v>
      </c>
      <c r="N76" s="249"/>
      <c r="O76" s="249"/>
      <c r="P76" s="250">
        <f t="shared" si="14"/>
        <v>0</v>
      </c>
    </row>
    <row r="77" spans="1:16" ht="21.75" customHeight="1">
      <c r="A77" s="301"/>
      <c r="G77" s="314">
        <f t="shared" si="13"/>
        <v>0</v>
      </c>
      <c r="H77" s="247"/>
      <c r="I77" s="247"/>
      <c r="J77" s="257">
        <v>2</v>
      </c>
      <c r="K77" s="255"/>
      <c r="L77" s="255"/>
      <c r="M77" s="257">
        <v>3</v>
      </c>
      <c r="N77" s="249"/>
      <c r="O77" s="249"/>
      <c r="P77" s="250">
        <f t="shared" si="14"/>
        <v>1</v>
      </c>
    </row>
  </sheetData>
  <sheetProtection selectLockedCells="1" selectUnlockedCells="1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A1:A65536 B1:U3 B5:B41 B43:B65536 C11:E18 C25:E34 C41:E65536 F5:G65536 H11:J18 H25:J34 H41:J50 H57:I64 H71:I65536 J64:U64 J78:P65536 K5:L65536 M11:O18 M25:O34 M41:O50 N57:O64 N71:O65536 P5:Q65536 R11:T18 R25:T34 R41:T65536 U5:U65536 V1:IV65536">
    <cfRule type="expression" priority="1" dxfId="0" stopIfTrue="1">
      <formula>ISERROR(A1)</formula>
    </cfRule>
  </conditionalFormatting>
  <conditionalFormatting sqref="C5:E10 C19:E24 C35:E40 H5:J10 H19:J24 H35:J40 H51:J56 H65:J70 M5:O10 M19:O24 M35:O40 M51:O56 M65:O70 R19:T24 R35:T40">
    <cfRule type="expression" priority="2" dxfId="0" stopIfTrue="1">
      <formula>ISERROR(C5)</formula>
    </cfRule>
    <cfRule type="expression" priority="3" dxfId="0" stopIfTrue="1">
      <formula>LEN(TRIM(C5))=0</formula>
    </cfRule>
    <cfRule type="cellIs" priority="4" dxfId="0" operator="equal" stopIfTrue="1">
      <formula>0</formula>
    </cfRule>
  </conditionalFormatting>
  <conditionalFormatting sqref="J57:J63 M57:M63">
    <cfRule type="expression" priority="5" dxfId="0" stopIfTrue="1">
      <formula>ISERROR(J57)</formula>
    </cfRule>
    <cfRule type="cellIs" priority="6" dxfId="0" operator="greaterThanOrEqual" stopIfTrue="1">
      <formula>3</formula>
    </cfRule>
  </conditionalFormatting>
  <conditionalFormatting sqref="J71:J77 M71:M77">
    <cfRule type="expression" priority="7" dxfId="0" stopIfTrue="1">
      <formula>ISERROR(J71)</formula>
    </cfRule>
    <cfRule type="cellIs" priority="8" dxfId="0" operator="greaterThanOrEqual" stopIfTrue="1">
      <formula>3</formula>
    </cfRule>
  </conditionalFormatting>
  <conditionalFormatting sqref="R5:T10">
    <cfRule type="expression" priority="9" dxfId="0" stopIfTrue="1">
      <formula>ISERROR(R5)</formula>
    </cfRule>
    <cfRule type="expression" priority="10" dxfId="0" stopIfTrue="1">
      <formula>LEN(TRIM(R5))=0</formula>
    </cfRule>
    <cfRule type="cellIs" priority="11" dxfId="0" operator="equal" stopIfTrue="1">
      <formula>0</formula>
    </cfRule>
  </conditionalFormatting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SheetLayoutView="80" workbookViewId="0" topLeftCell="A1">
      <selection activeCell="B8" sqref="B8"/>
    </sheetView>
  </sheetViews>
  <sheetFormatPr defaultColWidth="12.57421875" defaultRowHeight="12.75" outlineLevelCol="1"/>
  <cols>
    <col min="1" max="1" width="12.140625" style="315" customWidth="1"/>
    <col min="2" max="2" width="71.57421875" style="315" customWidth="1"/>
    <col min="3" max="3" width="0" style="315" hidden="1" customWidth="1" outlineLevel="1"/>
    <col min="4" max="4" width="23.57421875" style="315" customWidth="1"/>
    <col min="5" max="5" width="20.140625" style="315" customWidth="1"/>
    <col min="6" max="6" width="0" style="315" hidden="1" customWidth="1"/>
    <col min="7" max="7" width="6.421875" style="315" customWidth="1"/>
    <col min="8" max="8" width="9.8515625" style="315" customWidth="1"/>
    <col min="9" max="9" width="12.140625" style="315" customWidth="1"/>
    <col min="10" max="13" width="0" style="315" hidden="1" customWidth="1" outlineLevel="1"/>
    <col min="14" max="14" width="12.140625" style="315" customWidth="1"/>
    <col min="15" max="15" width="2.8515625" style="315" customWidth="1"/>
    <col min="16" max="16384" width="12.140625" style="315" customWidth="1"/>
  </cols>
  <sheetData>
    <row r="1" spans="1:16" ht="30" customHeight="1">
      <c r="A1" s="316" t="str">
        <f>CONCATENATE("PALMARES","  ",INFO!B6,"
","CHAMPIONNAT DE FRANCE DES CLUBS","
","10 METRES")</f>
        <v>PALMARES  18-19
CHAMPIONNAT DE FRANCE DES CLUBS
10 METRES</v>
      </c>
      <c r="B1" s="316"/>
      <c r="C1" s="316"/>
      <c r="D1" s="316"/>
      <c r="E1" s="316"/>
      <c r="F1" s="316"/>
      <c r="G1" s="316"/>
      <c r="H1" s="316"/>
      <c r="I1" s="317"/>
      <c r="J1" s="317"/>
      <c r="K1" s="318"/>
      <c r="L1" s="318"/>
      <c r="M1" s="318"/>
      <c r="N1" s="318"/>
      <c r="O1" s="319"/>
      <c r="P1" s="319"/>
    </row>
    <row r="2" spans="1:16" ht="39.75" customHeight="1">
      <c r="A2" s="316"/>
      <c r="B2" s="316"/>
      <c r="C2" s="316"/>
      <c r="D2" s="316"/>
      <c r="E2" s="316"/>
      <c r="F2" s="316"/>
      <c r="G2" s="316"/>
      <c r="H2" s="316"/>
      <c r="I2" s="317"/>
      <c r="J2" s="317"/>
      <c r="K2" s="318"/>
      <c r="L2" s="318"/>
      <c r="M2" s="318"/>
      <c r="N2" s="318"/>
      <c r="O2" s="320"/>
      <c r="P2" s="320"/>
    </row>
    <row r="3" spans="1:16" ht="39.75" customHeight="1">
      <c r="A3" s="316"/>
      <c r="B3" s="316"/>
      <c r="C3" s="316"/>
      <c r="D3" s="316"/>
      <c r="E3" s="316"/>
      <c r="F3" s="316"/>
      <c r="G3" s="316"/>
      <c r="H3" s="316"/>
      <c r="I3" s="317"/>
      <c r="J3" s="317"/>
      <c r="K3" s="318"/>
      <c r="L3" s="318"/>
      <c r="M3" s="318"/>
      <c r="N3" s="318"/>
      <c r="O3" s="320"/>
      <c r="P3" s="320"/>
    </row>
    <row r="4" spans="1:17" s="324" customFormat="1" ht="60" customHeight="1">
      <c r="A4" s="321" t="str">
        <f>CONCATENATE(INFO!B7,"   ",INFO!B9)</f>
        <v>CARABINE   ARDENNES (CHAMPAGNE)</v>
      </c>
      <c r="B4" s="321"/>
      <c r="C4" s="321"/>
      <c r="D4" s="321"/>
      <c r="E4" s="321"/>
      <c r="F4" s="321"/>
      <c r="G4" s="321"/>
      <c r="H4" s="321"/>
      <c r="I4" s="322"/>
      <c r="J4" s="322"/>
      <c r="K4" s="318"/>
      <c r="L4" s="323"/>
      <c r="M4" s="323"/>
      <c r="N4" s="323"/>
      <c r="P4" s="325"/>
      <c r="Q4" s="326"/>
    </row>
    <row r="5" spans="1:17" s="324" customFormat="1" ht="22.5" customHeight="1">
      <c r="A5" s="327"/>
      <c r="B5" s="327"/>
      <c r="C5" s="327"/>
      <c r="D5" s="327"/>
      <c r="E5" s="327"/>
      <c r="F5" s="327"/>
      <c r="G5" s="327"/>
      <c r="H5" s="327"/>
      <c r="I5" s="322"/>
      <c r="J5" s="328"/>
      <c r="K5" s="329"/>
      <c r="L5" s="323"/>
      <c r="M5" s="323"/>
      <c r="N5" s="323"/>
      <c r="P5" s="325"/>
      <c r="Q5" s="326"/>
    </row>
    <row r="6" spans="1:17" s="324" customFormat="1" ht="15" customHeight="1">
      <c r="A6" s="330"/>
      <c r="B6" s="330"/>
      <c r="C6" s="330"/>
      <c r="D6" s="330"/>
      <c r="E6" s="330"/>
      <c r="F6" s="330"/>
      <c r="G6" s="330"/>
      <c r="H6" s="330"/>
      <c r="I6" s="322"/>
      <c r="J6" s="328"/>
      <c r="K6" s="329"/>
      <c r="L6" s="323"/>
      <c r="M6" s="323"/>
      <c r="N6" s="323"/>
      <c r="P6" s="325"/>
      <c r="Q6" s="326"/>
    </row>
    <row r="7" spans="1:17" s="324" customFormat="1" ht="61.5" customHeight="1">
      <c r="A7" s="331" t="s">
        <v>72</v>
      </c>
      <c r="B7" s="332" t="s">
        <v>73</v>
      </c>
      <c r="C7" s="332" t="s">
        <v>74</v>
      </c>
      <c r="D7" s="332" t="s">
        <v>75</v>
      </c>
      <c r="E7" s="333" t="s">
        <v>76</v>
      </c>
      <c r="F7" s="334" t="s">
        <v>33</v>
      </c>
      <c r="G7" s="335"/>
      <c r="H7" s="336"/>
      <c r="J7" s="337"/>
      <c r="K7" s="338"/>
      <c r="L7" s="323"/>
      <c r="M7" s="323"/>
      <c r="N7" s="323"/>
      <c r="P7" s="325"/>
      <c r="Q7" s="326"/>
    </row>
    <row r="8" spans="1:11" s="323" customFormat="1" ht="61.5" customHeight="1">
      <c r="A8" s="339">
        <v>1</v>
      </c>
      <c r="B8" s="340" t="str">
        <f>IF(A8="","",IF('P.F.'!J71="","",IF('P.F.'!H71&gt;3,'P.F.'!H65,IF('P.F.'!N71&gt;3,'P.F.'!M65,""))))</f>
        <v>EAC THIN-LE-MOUTIER</v>
      </c>
      <c r="C8" s="341"/>
      <c r="D8" s="342">
        <f>IF(A8="","",IF(B8="","",VLOOKUP(B8,'M Q'!B$7:AI$14,2,0)))</f>
        <v>808312</v>
      </c>
      <c r="E8" s="343">
        <f>IF(A8="","",IF(B8="","",VLOOKUP(B8,'M Q'!B$7:AI$14,33,0)))</f>
        <v>1434.1999999999998</v>
      </c>
      <c r="F8" s="344">
        <f>IF(A8="","",IF(B8="","",VLOOKUP(B8,'M Q'!B$7:AI$14,34,0)))</f>
        <v>0</v>
      </c>
      <c r="G8" s="345" t="s">
        <v>71</v>
      </c>
      <c r="H8" s="346"/>
      <c r="I8" s="338"/>
      <c r="J8" s="347"/>
      <c r="K8" s="347"/>
    </row>
    <row r="9" spans="1:11" s="323" customFormat="1" ht="61.5" customHeight="1">
      <c r="A9" s="339">
        <f>IF(INFO!B8&gt;1,2,"")</f>
        <v>2</v>
      </c>
      <c r="B9" s="340" t="str">
        <f>IF(A9="","",IF('P.F.'!M71="","",IF('P.F.'!H71&gt;3,'P.F.'!M65,IF('P.F.'!N71&gt;3,'P.F.'!H65,""))))</f>
        <v>LA MOUCHE REMILLY</v>
      </c>
      <c r="C9" s="341"/>
      <c r="D9" s="342">
        <f>IF(A9="","",IF(B9="","",VLOOKUP(B9,'M Q'!B$7:AI$14,2,0)))</f>
        <v>808003</v>
      </c>
      <c r="E9" s="343">
        <f>IF(A9="","",IF(B9="","",VLOOKUP(B9,'M Q'!B$7:AI$14,33,0)))</f>
        <v>1447.9</v>
      </c>
      <c r="F9" s="344">
        <f>IF(A9="","",IF(B9="","",VLOOKUP(B9,'M Q'!B$7:AI$14,34,0)))</f>
        <v>0</v>
      </c>
      <c r="G9" s="345"/>
      <c r="H9" s="346"/>
      <c r="I9" s="347"/>
      <c r="J9" s="347"/>
      <c r="K9" s="347"/>
    </row>
    <row r="10" spans="1:11" s="323" customFormat="1" ht="61.5" customHeight="1">
      <c r="A10" s="339">
        <f>IF(INFO!B8&gt;2,3,"")</f>
        <v>3</v>
      </c>
      <c r="B10" s="348" t="str">
        <f>IF(A10="","",IF(INFO!B8=3,'P.F.'!M51,IF('P.F.'!J57="","",IF('P.F.'!H57&gt;3,'P.F.'!H51,IF('P.F.'!N57&gt;3,'P.F.'!M51,"")))))</f>
        <v>USTIR CHARLEVILLE</v>
      </c>
      <c r="C10" s="349"/>
      <c r="D10" s="342">
        <f>IF(A10="","",IF(B10="","",VLOOKUP(B10,'M Q'!B$7:AI$14,2,0)))</f>
        <v>808281</v>
      </c>
      <c r="E10" s="343">
        <f>IF(A10="","",IF(B10="","",VLOOKUP(B10,'M Q'!B$7:AI$14,33,0)))</f>
        <v>1308.4</v>
      </c>
      <c r="F10" s="344">
        <f>IF(A10="","",IF(B10="","",VLOOKUP(B10,'M Q'!B$7:AI$14,34,0)))</f>
        <v>0</v>
      </c>
      <c r="G10" s="350" t="s">
        <v>77</v>
      </c>
      <c r="H10" s="351"/>
      <c r="K10" s="347"/>
    </row>
    <row r="11" spans="1:13" s="323" customFormat="1" ht="61.5" customHeight="1">
      <c r="A11" s="352">
        <f>IF(INFO!B8&gt;3,4,"")</f>
      </c>
      <c r="B11" s="353">
        <f>IF(A11="","",IF('P.F.'!M57="","",IF('P.F.'!H57&gt;3,'P.F.'!M51,IF('P.F.'!N57&gt;3,'P.F.'!H51,""))))</f>
      </c>
      <c r="C11" s="354"/>
      <c r="D11" s="342">
        <f>IF(A11="","",IF(B11="","",VLOOKUP(B11,'M Q'!B$7:AI$14,2,0)))</f>
      </c>
      <c r="E11" s="343">
        <f>IF(A11="","",IF(B11="","",VLOOKUP(B11,'M Q'!B$7:AI$14,33,0)))</f>
      </c>
      <c r="F11" s="344">
        <f>IF(A11="","",IF(B11="","",VLOOKUP(B11,'M Q'!B$7:AI$14,34,0)))</f>
      </c>
      <c r="G11" s="350"/>
      <c r="H11" s="351"/>
      <c r="I11" s="355"/>
      <c r="J11" s="356" t="s">
        <v>78</v>
      </c>
      <c r="K11" s="356"/>
      <c r="L11" s="356"/>
      <c r="M11" s="356"/>
    </row>
    <row r="12" spans="1:13" s="323" customFormat="1" ht="61.5" customHeight="1">
      <c r="A12" s="352">
        <f>IF(INFO!B8&gt;4,5,"")</f>
      </c>
      <c r="B12" s="353">
        <f aca="true" t="shared" si="0" ref="B12:B15">IF(A12="","",VLOOKUP(E12,J$12:M$15,3,0))</f>
      </c>
      <c r="C12" s="354"/>
      <c r="D12" s="357">
        <f aca="true" t="shared" si="1" ref="D12:D15">IF(A12="","",VLOOKUP(E12,J$12:M$15,4,0))</f>
      </c>
      <c r="E12" s="358">
        <f>IF(A12="","",LARGE(J12:J15,1))</f>
      </c>
      <c r="F12" s="344">
        <f>IF(A12="","",IF(B12="","",VLOOKUP(B12,'M Q'!B$7:AI$14,34,0)))</f>
      </c>
      <c r="G12" s="359" t="s">
        <v>79</v>
      </c>
      <c r="H12" s="360"/>
      <c r="I12" s="355"/>
      <c r="J12" s="361">
        <f>IF(L12="",0,VLOOKUP(L12,saisie!C$7:AL$26,36,0))</f>
        <v>0</v>
      </c>
      <c r="K12" s="362" t="e">
        <f>VLOOKUP(L12,saisie!C$7:AL$26,34,0)</f>
        <v>#N/A</v>
      </c>
      <c r="L12" s="363">
        <f>IF('P.F.'!E11="","",IF('P.F.'!C11&gt;3,'P.F.'!H5,IF('P.F.'!I11&gt;3,'P.F.'!C5,"")))</f>
      </c>
      <c r="M12" s="362" t="e">
        <f>VLOOKUP(L12,saisie!C$7:AL$26,2,0)</f>
        <v>#N/A</v>
      </c>
    </row>
    <row r="13" spans="1:13" s="323" customFormat="1" ht="61.5" customHeight="1">
      <c r="A13" s="352">
        <f>IF(INFO!B8&gt;5,6,"")</f>
      </c>
      <c r="B13" s="353">
        <f t="shared" si="0"/>
      </c>
      <c r="C13" s="354"/>
      <c r="D13" s="357">
        <f t="shared" si="1"/>
      </c>
      <c r="E13" s="358">
        <f>IF(A13="","",LARGE(J12:J15,2))</f>
      </c>
      <c r="F13" s="344">
        <f>IF(A13="","",IF(B13="","",VLOOKUP(B13,'M Q'!B$7:AI$14,34,0)))</f>
      </c>
      <c r="G13" s="359"/>
      <c r="H13" s="360"/>
      <c r="J13" s="361">
        <f>IF(L13="",0,VLOOKUP(L13,saisie!C$7:AL$26,36,0))</f>
        <v>0</v>
      </c>
      <c r="K13" s="362" t="e">
        <f>VLOOKUP(L13,saisie!C$7:AL$26,34,0)</f>
        <v>#N/A</v>
      </c>
      <c r="L13" s="363">
        <f>IF('P.F.'!O11="","",IF('P.F.'!M11&gt;3,'P.F.'!R5,IF('P.F.'!S11&gt;3,'P.F.'!M5,"")))</f>
      </c>
      <c r="M13" s="362" t="e">
        <f>VLOOKUP(L13,saisie!C$7:AL$26,2,0)</f>
        <v>#N/A</v>
      </c>
    </row>
    <row r="14" spans="1:16" s="323" customFormat="1" ht="61.5" customHeight="1">
      <c r="A14" s="364">
        <f>IF(INFO!B8&gt;6,7,"")</f>
      </c>
      <c r="B14" s="353">
        <f t="shared" si="0"/>
      </c>
      <c r="C14" s="354"/>
      <c r="D14" s="357">
        <f t="shared" si="1"/>
      </c>
      <c r="E14" s="358">
        <f>IF(A14="","",LARGE(J12:J15,3))</f>
      </c>
      <c r="F14" s="344">
        <f>IF(A14="","",IF(B14="","",VLOOKUP(B14,'M Q'!B$7:AI$14,34,0)))</f>
      </c>
      <c r="G14" s="359"/>
      <c r="H14" s="360"/>
      <c r="I14" s="355"/>
      <c r="J14" s="361">
        <f>IF(L14="",0,VLOOKUP(L14,saisie!C$7:AL$26,36,0))</f>
        <v>0</v>
      </c>
      <c r="K14" s="362" t="e">
        <f>VLOOKUP(L14,saisie!C$7:AL$26,34,0)</f>
        <v>#N/A</v>
      </c>
      <c r="L14" s="363">
        <f>IF('P.F.'!H25="","",IF('P.F.'!C25&gt;3,'P.F.'!H19,IF('P.F.'!I25&gt;3,'P.F.'!C19,"")))</f>
      </c>
      <c r="M14" s="362" t="e">
        <f>VLOOKUP(L14,saisie!C$7:AL$26,2,0)</f>
        <v>#N/A</v>
      </c>
      <c r="O14" s="347"/>
      <c r="P14" s="347"/>
    </row>
    <row r="15" spans="1:17" s="323" customFormat="1" ht="61.5" customHeight="1">
      <c r="A15" s="365">
        <f>IF(INFO!B8&gt;7,8,"")</f>
      </c>
      <c r="B15" s="353">
        <f t="shared" si="0"/>
      </c>
      <c r="C15" s="354"/>
      <c r="D15" s="357">
        <f t="shared" si="1"/>
      </c>
      <c r="E15" s="358">
        <f>IF(A15="","",LARGE(J12:J15,4))</f>
      </c>
      <c r="F15" s="344">
        <f>IF(A15="","",IF(B15="","",VLOOKUP(B15,'M Q'!B$7:AI$14,34,0)))</f>
      </c>
      <c r="G15" s="359"/>
      <c r="H15" s="360"/>
      <c r="I15" s="355"/>
      <c r="J15" s="361">
        <f>IF(L15="",0,VLOOKUP(L15,saisie!C$7:AL$26,36,0))</f>
        <v>0</v>
      </c>
      <c r="K15" s="362" t="e">
        <f>VLOOKUP(L15,saisie!C$7:AL$26,34,0)</f>
        <v>#N/A</v>
      </c>
      <c r="L15" s="363">
        <f>IF('P.F.'!R25="","",IF('P.F.'!M25&gt;3,'P.F.'!R19,IF('P.F.'!S25&gt;3,'P.F.'!M19,"")))</f>
      </c>
      <c r="M15" s="362" t="e">
        <f>VLOOKUP(L15,saisie!C$7:AL$26,2,0)</f>
        <v>#N/A</v>
      </c>
      <c r="O15" s="346"/>
      <c r="P15" s="347"/>
      <c r="Q15" s="347"/>
    </row>
    <row r="16" spans="1:17" s="323" customFormat="1" ht="61.5" customHeight="1">
      <c r="A16" s="365">
        <f>IF(INFO!B8&gt;8,9,"")</f>
      </c>
      <c r="B16" s="353">
        <f>IF(A16="","",IF('M Q'!AE15="","",'M Q'!B15))</f>
      </c>
      <c r="C16" s="354"/>
      <c r="D16" s="357">
        <f>IF(A16="","",IF('M Q'!AE15="","",'M Q'!C15))</f>
      </c>
      <c r="E16" s="358">
        <f>IF(A16="","",IF('M Q'!AE15="","",'M Q'!AH15))</f>
      </c>
      <c r="F16" s="366">
        <f>IF(A16="","",IF('M Q'!AE15="","",'M Q'!AI15))</f>
      </c>
      <c r="G16" s="347"/>
      <c r="H16" s="360"/>
      <c r="I16" s="355"/>
      <c r="J16" s="347"/>
      <c r="K16" s="362"/>
      <c r="L16" s="346"/>
      <c r="M16" s="346"/>
      <c r="N16" s="346"/>
      <c r="O16" s="346"/>
      <c r="P16" s="347"/>
      <c r="Q16" s="347"/>
    </row>
    <row r="17" spans="1:17" s="323" customFormat="1" ht="61.5" customHeight="1">
      <c r="A17" s="367">
        <f>IF(INFO!B8&gt;9,10,"")</f>
      </c>
      <c r="B17" s="353">
        <f>IF(A17="","",IF('M Q'!AE16="","",'M Q'!B16))</f>
      </c>
      <c r="C17" s="354"/>
      <c r="D17" s="357">
        <f>IF(A17="","",IF('M Q'!AE16="","",'M Q'!C16))</f>
      </c>
      <c r="E17" s="358">
        <f>IF(A17="","",IF('M Q'!AE16="","",'M Q'!AH16))</f>
      </c>
      <c r="F17" s="366">
        <f>IF(A17="","",IF('M Q'!AE16="","",'M Q'!AI16))</f>
      </c>
      <c r="G17" s="347"/>
      <c r="H17" s="360"/>
      <c r="I17" s="355"/>
      <c r="J17" s="368"/>
      <c r="K17" s="368"/>
      <c r="L17" s="368"/>
      <c r="M17" s="368"/>
      <c r="N17" s="346"/>
      <c r="O17" s="346"/>
      <c r="P17" s="347"/>
      <c r="Q17" s="347"/>
    </row>
    <row r="18" spans="1:17" s="323" customFormat="1" ht="61.5" customHeight="1">
      <c r="A18" s="365">
        <f>IF(INFO!B8&gt;10,11,"")</f>
      </c>
      <c r="B18" s="353">
        <f>IF(A18="","",IF('M Q'!AE17="","",'M Q'!B17))</f>
      </c>
      <c r="C18" s="354"/>
      <c r="D18" s="357">
        <f>IF(A18="","",IF('M Q'!AE17="","",'M Q'!C17))</f>
      </c>
      <c r="E18" s="358">
        <f>IF(A18="","",IF('M Q'!AE17="","",'M Q'!AH17))</f>
      </c>
      <c r="F18" s="366">
        <f>IF(A18="","",IF('M Q'!AE17="","",'M Q'!AI17))</f>
      </c>
      <c r="G18" s="347"/>
      <c r="H18" s="360"/>
      <c r="I18" s="355"/>
      <c r="J18" s="368"/>
      <c r="K18" s="368"/>
      <c r="L18" s="368"/>
      <c r="M18" s="368"/>
      <c r="N18" s="346"/>
      <c r="O18" s="346"/>
      <c r="P18" s="347"/>
      <c r="Q18" s="347"/>
    </row>
    <row r="19" spans="1:17" s="323" customFormat="1" ht="61.5" customHeight="1">
      <c r="A19" s="367">
        <f>IF(INFO!B8&gt;11,12,"")</f>
      </c>
      <c r="B19" s="353">
        <f>IF(A19="","",IF('M Q'!AE18="","",'M Q'!B18))</f>
      </c>
      <c r="C19" s="354"/>
      <c r="D19" s="357">
        <f>IF(A19="","",IF('M Q'!AE18="","",'M Q'!C18))</f>
      </c>
      <c r="E19" s="358">
        <f>IF(A19="","",IF('M Q'!AE18="","",'M Q'!AH18))</f>
      </c>
      <c r="F19" s="366">
        <f>IF(A19="","",IF('M Q'!AE18="","",'M Q'!AI18))</f>
      </c>
      <c r="G19" s="347"/>
      <c r="H19" s="360"/>
      <c r="I19" s="355"/>
      <c r="J19" s="368"/>
      <c r="K19" s="368"/>
      <c r="L19" s="368"/>
      <c r="M19" s="368"/>
      <c r="N19" s="346"/>
      <c r="O19" s="346"/>
      <c r="P19" s="347"/>
      <c r="Q19" s="347"/>
    </row>
    <row r="20" spans="1:17" s="323" customFormat="1" ht="61.5" customHeight="1">
      <c r="A20" s="365">
        <f>IF(INFO!B8&gt;12,13,"")</f>
      </c>
      <c r="B20" s="353">
        <f>IF(A20="","",IF('M Q'!AE19="","",'M Q'!B19))</f>
      </c>
      <c r="C20" s="354"/>
      <c r="D20" s="357">
        <f>IF(A20="","",IF('M Q'!AE19="","",'M Q'!C19))</f>
      </c>
      <c r="E20" s="358">
        <f>IF(A20="","",IF('M Q'!AE19="","",'M Q'!AH19))</f>
      </c>
      <c r="F20" s="366">
        <f>IF(A20="","",IF('M Q'!AE19="","",'M Q'!AI19))</f>
      </c>
      <c r="G20" s="347"/>
      <c r="H20" s="360"/>
      <c r="I20" s="355"/>
      <c r="J20" s="347"/>
      <c r="K20" s="338"/>
      <c r="L20" s="346"/>
      <c r="M20" s="346"/>
      <c r="N20" s="346"/>
      <c r="O20" s="346"/>
      <c r="P20" s="347"/>
      <c r="Q20" s="347"/>
    </row>
    <row r="21" spans="1:17" s="323" customFormat="1" ht="61.5" customHeight="1">
      <c r="A21" s="367">
        <f>IF(INFO!B8&gt;13,14,"")</f>
      </c>
      <c r="B21" s="353">
        <f>IF(A21="","",IF('M Q'!AE20="","",'M Q'!B20))</f>
      </c>
      <c r="C21" s="354"/>
      <c r="D21" s="357">
        <f>IF(A21="","",IF('M Q'!AE20="","",'M Q'!C20))</f>
      </c>
      <c r="E21" s="358">
        <f>IF(A21="","",IF('M Q'!AE20="","",'M Q'!AH20))</f>
      </c>
      <c r="F21" s="366">
        <f>IF(A21="","",IF('M Q'!AE20="","",'M Q'!AI20))</f>
      </c>
      <c r="G21" s="347"/>
      <c r="H21" s="360"/>
      <c r="I21" s="355"/>
      <c r="J21" s="347"/>
      <c r="K21" s="338"/>
      <c r="L21" s="346"/>
      <c r="M21" s="346"/>
      <c r="N21" s="346"/>
      <c r="O21" s="346"/>
      <c r="P21" s="347"/>
      <c r="Q21" s="347"/>
    </row>
    <row r="22" spans="1:17" s="323" customFormat="1" ht="61.5" customHeight="1">
      <c r="A22" s="365">
        <f>IF(INFO!B8&gt;14,15,"")</f>
      </c>
      <c r="B22" s="353">
        <f>IF(A22="","",IF('M Q'!AE21="","",'M Q'!B21))</f>
      </c>
      <c r="C22" s="354"/>
      <c r="D22" s="357">
        <f>IF(A22="","",IF('M Q'!AE21="","",'M Q'!C21))</f>
      </c>
      <c r="E22" s="358">
        <f>IF(A22="","",IF('M Q'!AE21="","",'M Q'!AH21))</f>
      </c>
      <c r="F22" s="366">
        <f>IF(A22="","",IF('M Q'!AE21="","",'M Q'!AI21))</f>
      </c>
      <c r="G22" s="347"/>
      <c r="H22" s="360"/>
      <c r="I22" s="355"/>
      <c r="J22" s="347"/>
      <c r="K22" s="338"/>
      <c r="L22" s="346"/>
      <c r="M22" s="346"/>
      <c r="N22" s="346"/>
      <c r="O22" s="346"/>
      <c r="P22" s="347"/>
      <c r="Q22" s="347"/>
    </row>
    <row r="23" spans="1:17" s="323" customFormat="1" ht="61.5" customHeight="1">
      <c r="A23" s="367">
        <f>IF(INFO!B8&gt;15,16,"")</f>
      </c>
      <c r="B23" s="353">
        <f>IF(A23="","",IF('M Q'!AE22="","",'M Q'!B22))</f>
      </c>
      <c r="C23" s="354"/>
      <c r="D23" s="357">
        <f>IF(A23="","",IF('M Q'!AE22="","",'M Q'!C22))</f>
      </c>
      <c r="E23" s="358">
        <f>IF(A23="","",IF('M Q'!AE22="","",'M Q'!AH22))</f>
      </c>
      <c r="F23" s="366">
        <f>IF(A23="","",IF('M Q'!AE22="","",'M Q'!AI22))</f>
      </c>
      <c r="G23" s="347"/>
      <c r="H23" s="360"/>
      <c r="I23" s="355"/>
      <c r="J23" s="347"/>
      <c r="K23" s="338"/>
      <c r="L23" s="346"/>
      <c r="M23" s="346"/>
      <c r="N23" s="346"/>
      <c r="O23" s="346"/>
      <c r="P23" s="347"/>
      <c r="Q23" s="347"/>
    </row>
    <row r="24" spans="1:17" s="323" customFormat="1" ht="61.5" customHeight="1">
      <c r="A24" s="369">
        <f>IF(INFO!B8&gt;16,17,"")</f>
      </c>
      <c r="B24" s="353">
        <f>IF(A24="","",IF('M Q'!AE23="","",'M Q'!B23))</f>
      </c>
      <c r="C24" s="354"/>
      <c r="D24" s="357">
        <f>IF(A24="","",IF('M Q'!AE23="","",'M Q'!C23))</f>
      </c>
      <c r="E24" s="358">
        <f>IF(A24="","",IF('M Q'!AE23="","",'M Q'!AH23))</f>
      </c>
      <c r="F24" s="366">
        <f>IF(A24="","",IF('M Q'!AE23="","",'M Q'!AI23))</f>
      </c>
      <c r="G24" s="347"/>
      <c r="H24" s="360"/>
      <c r="I24" s="355"/>
      <c r="J24" s="347"/>
      <c r="K24" s="338"/>
      <c r="L24" s="346"/>
      <c r="M24" s="346"/>
      <c r="N24" s="346"/>
      <c r="O24" s="346"/>
      <c r="P24" s="347"/>
      <c r="Q24" s="347"/>
    </row>
    <row r="25" spans="1:17" s="323" customFormat="1" ht="61.5" customHeight="1">
      <c r="A25" s="367">
        <f>IF(INFO!B8&gt;17,18,"")</f>
      </c>
      <c r="B25" s="353">
        <f>IF(A25="","",IF('M Q'!AE24="","",'M Q'!B24))</f>
      </c>
      <c r="C25" s="354"/>
      <c r="D25" s="357">
        <f>IF(A25="","",IF('M Q'!AE24="","",'M Q'!C24))</f>
      </c>
      <c r="E25" s="358">
        <f>IF(A25="","",IF('M Q'!AE24="","",'M Q'!AH24))</f>
      </c>
      <c r="F25" s="366">
        <f>IF(A25="","",IF('M Q'!AE24="","",'M Q'!AI24))</f>
      </c>
      <c r="G25" s="347"/>
      <c r="H25" s="360"/>
      <c r="I25" s="355"/>
      <c r="J25" s="347"/>
      <c r="K25" s="338"/>
      <c r="L25" s="346"/>
      <c r="M25" s="346"/>
      <c r="N25" s="346"/>
      <c r="O25" s="346"/>
      <c r="P25" s="347"/>
      <c r="Q25" s="347"/>
    </row>
    <row r="26" spans="1:17" s="323" customFormat="1" ht="61.5" customHeight="1">
      <c r="A26" s="365">
        <f>IF(INFO!B8&gt;18,19,"")</f>
      </c>
      <c r="B26" s="353">
        <f>IF(A26="","",IF('M Q'!AE25="","",'M Q'!B25))</f>
      </c>
      <c r="C26" s="354"/>
      <c r="D26" s="357">
        <f>IF(A26="","",IF('M Q'!AE25="","",'M Q'!C25))</f>
      </c>
      <c r="E26" s="358">
        <f>IF(A26="","",IF('M Q'!AE25="","",'M Q'!AH25))</f>
      </c>
      <c r="F26" s="366">
        <f>IF(A26="","",IF('M Q'!AE25="","",'M Q'!AI25))</f>
      </c>
      <c r="G26" s="347"/>
      <c r="H26" s="360"/>
      <c r="I26" s="355"/>
      <c r="J26" s="347"/>
      <c r="K26" s="338"/>
      <c r="L26" s="346"/>
      <c r="M26" s="346"/>
      <c r="N26" s="346"/>
      <c r="O26" s="346"/>
      <c r="P26" s="347"/>
      <c r="Q26" s="347"/>
    </row>
    <row r="27" spans="1:17" s="323" customFormat="1" ht="61.5" customHeight="1">
      <c r="A27" s="367">
        <f>IF(INFO!B8&gt;19,20,"")</f>
      </c>
      <c r="B27" s="353">
        <f>IF(A27="","",IF('M Q'!AE26="","",'M Q'!B26))</f>
      </c>
      <c r="C27" s="354"/>
      <c r="D27" s="357">
        <f>IF(A27="","",IF('M Q'!AE26="","",'M Q'!C26))</f>
      </c>
      <c r="E27" s="358">
        <f>IF(A27="","",IF('M Q'!AE26="","",'M Q'!AH26))</f>
      </c>
      <c r="F27" s="366">
        <f>IF(A27="","",IF('M Q'!AE26="","",'M Q'!AI26))</f>
      </c>
      <c r="G27" s="347"/>
      <c r="H27" s="360"/>
      <c r="I27" s="355"/>
      <c r="J27" s="347"/>
      <c r="K27" s="338"/>
      <c r="L27" s="346"/>
      <c r="M27" s="346"/>
      <c r="N27" s="346"/>
      <c r="O27" s="346"/>
      <c r="P27" s="347"/>
      <c r="Q27" s="347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 selectLockedCells="1" selectUnlockedCells="1"/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A27">
    <cfRule type="expression" priority="1" dxfId="0" stopIfTrue="1">
      <formula>LEN(TRIM(A8))=0</formula>
    </cfRule>
  </conditionalFormatting>
  <conditionalFormatting sqref="B8:F27">
    <cfRule type="cellIs" priority="2" dxfId="0" operator="equal" stopIfTrue="1">
      <formula>0</formula>
    </cfRule>
  </conditionalFormatting>
  <conditionalFormatting sqref="G12:M15 I10:J10 L4:M10 N4:N15 O8:P13 Q8:Q14 R8:IV27">
    <cfRule type="expression" priority="3" dxfId="0" stopIfTrue="1">
      <formula>ISERROR(G4)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 KIEFER</cp:lastModifiedBy>
  <dcterms:modified xsi:type="dcterms:W3CDTF">2019-01-12T17:54:44Z</dcterms:modified>
  <cp:category/>
  <cp:version/>
  <cp:contentType/>
  <cp:contentStatus/>
  <cp:revision>5</cp:revision>
</cp:coreProperties>
</file>